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J65" i="1" l="1"/>
  <c r="I65" i="1"/>
  <c r="G65" i="1"/>
  <c r="G61" i="1"/>
  <c r="J62" i="1"/>
  <c r="I62" i="1"/>
  <c r="G62" i="1"/>
  <c r="J61" i="1"/>
  <c r="I61" i="1"/>
  <c r="J50" i="1"/>
  <c r="H50" i="1"/>
  <c r="J46" i="1"/>
  <c r="H46" i="1"/>
  <c r="J23" i="1"/>
  <c r="H23" i="1"/>
  <c r="J20" i="1"/>
  <c r="H20" i="1"/>
  <c r="G20" i="1"/>
  <c r="J18" i="1"/>
  <c r="H18" i="1"/>
  <c r="G18" i="1"/>
  <c r="J17" i="1"/>
  <c r="H17" i="1"/>
  <c r="H16" i="1"/>
  <c r="J16" i="1" s="1"/>
  <c r="G16" i="1"/>
  <c r="H15" i="1"/>
  <c r="J15" i="1" s="1"/>
  <c r="J14" i="1"/>
  <c r="H14" i="1"/>
  <c r="G14" i="1"/>
  <c r="G15" i="1" l="1"/>
  <c r="I14" i="1"/>
  <c r="M94" i="1" l="1"/>
  <c r="L94" i="1"/>
  <c r="K94"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0" i="1"/>
  <c r="H100" i="1"/>
  <c r="I100" i="1"/>
  <c r="J100" i="1"/>
  <c r="L85" i="1"/>
  <c r="M85" i="1"/>
  <c r="L80" i="1"/>
  <c r="M80" i="1"/>
  <c r="L73" i="1"/>
  <c r="M73" i="1"/>
  <c r="L57" i="1"/>
  <c r="M57" i="1"/>
  <c r="L50" i="1"/>
  <c r="M50" i="1"/>
  <c r="L39" i="1"/>
  <c r="M39" i="1"/>
  <c r="L33" i="1"/>
  <c r="M33" i="1"/>
  <c r="L28" i="1"/>
  <c r="M28" i="1"/>
  <c r="L14" i="1"/>
  <c r="M14" i="1"/>
  <c r="K85" i="1"/>
  <c r="K80" i="1"/>
  <c r="K73"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0" i="1"/>
  <c r="K100" i="1"/>
  <c r="M100"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1" i="1"/>
  <c r="B82" i="1"/>
  <c r="B77" i="1"/>
  <c r="B30" i="1"/>
  <c r="B70"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69" i="1"/>
  <c r="B72" i="1"/>
  <c r="B73" i="1"/>
  <c r="B74" i="1"/>
  <c r="B75" i="1"/>
  <c r="B76" i="1"/>
  <c r="B79" i="1"/>
  <c r="B81" i="1"/>
  <c r="B84" i="1"/>
  <c r="B85" i="1"/>
  <c r="B86" i="1"/>
  <c r="B87" i="1"/>
  <c r="B88" i="1"/>
  <c r="B89" i="1"/>
  <c r="B90" i="1"/>
  <c r="B23" i="3"/>
  <c r="C103" i="1"/>
  <c r="B102" i="1"/>
  <c r="B100" i="1"/>
  <c r="B98" i="1"/>
  <c r="B97" i="1"/>
  <c r="B96" i="1"/>
  <c r="B95" i="1"/>
  <c r="B56" i="1"/>
  <c r="B57" i="1"/>
  <c r="B58" i="1"/>
  <c r="B59" i="1"/>
  <c r="B60" i="1"/>
  <c r="B61" i="1"/>
  <c r="B62" i="1"/>
  <c r="B63" i="1"/>
  <c r="B64" i="1"/>
  <c r="B65" i="1"/>
  <c r="B66" i="1"/>
  <c r="B67" i="1"/>
  <c r="B68" i="1"/>
  <c r="B80" i="1"/>
  <c r="B93" i="1"/>
  <c r="B94" i="1"/>
  <c r="R143" i="4" l="1"/>
  <c r="I143" i="4"/>
  <c r="R79" i="4"/>
  <c r="I79" i="4"/>
  <c r="B105"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<sst xmlns="http://schemas.openxmlformats.org/spreadsheetml/2006/main" count="1777" uniqueCount="1540">
  <si>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</si>
  <si>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</si>
  <si>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</si>
  <si>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</si>
  <si>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</si>
  <si>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</si>
  <si>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</si>
  <si>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</si>
  <si>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</si>
  <si>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</si>
  <si>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</si>
  <si>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</si>
  <si>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</si>
  <si>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</si>
  <si>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</si>
  <si>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</si>
  <si>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</si>
  <si>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</si>
  <si>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</si>
  <si>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</si>
  <si>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</si>
  <si>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</si>
  <si>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</si>
  <si>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</si>
  <si>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</si>
  <si>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</si>
  <si>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</si>
  <si>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</si>
  <si>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</si>
  <si>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</si>
  <si>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</si>
  <si>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</si>
  <si>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</si>
  <si>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</si>
  <si>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</si>
  <si>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</si>
  <si>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</si>
  <si>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</si>
  <si>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</si>
  <si>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</si>
  <si>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</si>
  <si>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</si>
  <si>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</si>
  <si>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</si>
  <si>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</si>
  <si>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</si>
  <si>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</si>
  <si>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</si>
  <si>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</si>
  <si>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</si>
  <si>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</si>
  <si>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</si>
  <si>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</si>
  <si>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</si>
  <si>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</si>
  <si>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</si>
  <si>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</si>
  <si>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</si>
  <si>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</si>
  <si>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</si>
  <si>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</si>
  <si>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</si>
  <si>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</si>
  <si>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</si>
  <si>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</si>
  <si>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</si>
  <si>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</si>
  <si>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</si>
  <si>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</si>
  <si>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</si>
  <si>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</si>
  <si>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</si>
  <si>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</si>
  <si>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</si>
  <si>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</si>
  <si>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</si>
  <si>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</si>
  <si>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</si>
  <si>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</si>
  <si>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</si>
  <si>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</si>
  <si>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</si>
  <si>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</si>
  <si>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</si>
  <si>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</si>
  <si>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</si>
  <si>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</si>
  <si>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</si>
  <si>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</si>
  <si>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</si>
  <si>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</si>
  <si>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</si>
  <si>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</si>
  <si>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</si>
  <si>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</si>
  <si>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</si>
  <si>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</si>
  <si>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</si>
  <si>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</si>
  <si>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</si>
  <si>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</si>
  <si>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</si>
  <si>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</si>
  <si>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</si>
  <si>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</si>
  <si>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</si>
  <si>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</si>
  <si>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</si>
  <si>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</si>
  <si>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</si>
  <si>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</si>
  <si>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</si>
  <si>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</si>
  <si>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</si>
  <si>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</si>
  <si>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</si>
  <si>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</si>
  <si>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</si>
  <si>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</si>
  <si>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</si>
  <si>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</si>
  <si>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</si>
  <si>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</si>
  <si>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</si>
  <si>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</si>
  <si>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</si>
  <si>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</si>
  <si>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</si>
  <si>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</si>
  <si>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</si>
  <si>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</si>
  <si>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</si>
  <si>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</si>
  <si>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</si>
  <si>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</si>
  <si>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</si>
  <si>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</si>
  <si>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</si>
  <si>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</si>
  <si>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</si>
  <si>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</si>
  <si>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</si>
  <si>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</si>
  <si>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</si>
  <si>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</si>
  <si>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</si>
  <si>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</si>
  <si>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</si>
  <si>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</si>
  <si>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</si>
  <si>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</si>
  <si>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</si>
  <si>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</si>
  <si>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</si>
  <si>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</si>
  <si>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</si>
  <si>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</si>
  <si>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</si>
  <si>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</si>
  <si>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</si>
  <si>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</si>
  <si>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</si>
  <si>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</si>
  <si>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</si>
  <si>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</si>
  <si>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</si>
  <si>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</si>
  <si>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</si>
  <si>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</si>
  <si>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</si>
  <si>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</si>
  <si>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</si>
  <si>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</si>
  <si>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</si>
  <si>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</si>
  <si>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</si>
  <si>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</si>
  <si>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</si>
  <si>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</si>
  <si>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</si>
  <si>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</si>
  <si>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</si>
  <si>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</si>
  <si>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</si>
  <si>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</si>
  <si>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</si>
  <si>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</si>
  <si>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</si>
  <si>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</si>
  <si>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</si>
  <si>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</si>
  <si>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</si>
  <si>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</si>
  <si>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</si>
  <si>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</si>
  <si>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</si>
  <si>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</si>
  <si>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</si>
  <si>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</si>
  <si>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</si>
  <si>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</si>
  <si>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</si>
  <si>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</si>
  <si>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</si>
  <si>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</si>
  <si>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</si>
  <si>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</si>
  <si>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</si>
  <si>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</si>
  <si>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</si>
  <si>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</si>
  <si>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</si>
  <si>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</si>
  <si>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</si>
  <si>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</si>
  <si>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</si>
  <si>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</si>
  <si>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</si>
  <si>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</si>
  <si>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</si>
  <si>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</si>
  <si>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</si>
  <si>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</si>
  <si>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</si>
  <si>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</si>
  <si>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</si>
  <si>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</si>
  <si>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</si>
  <si>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</si>
  <si>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</si>
  <si>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</si>
  <si>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</si>
  <si>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</si>
  <si>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</si>
  <si>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</si>
  <si>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</si>
  <si>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</si>
  <si>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</si>
  <si>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</si>
  <si>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</si>
  <si>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</si>
  <si>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</si>
  <si>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</si>
  <si>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</si>
  <si>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</si>
  <si>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</si>
  <si>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</si>
  <si>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</si>
  <si>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</si>
  <si>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</si>
  <si>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</si>
  <si>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</si>
  <si>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</si>
  <si>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</si>
  <si>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</si>
  <si>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</si>
  <si>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</si>
  <si>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</si>
  <si>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</si>
  <si>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</si>
  <si>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</si>
  <si>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</si>
  <si>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</si>
  <si>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</si>
  <si>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</si>
  <si>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</si>
  <si>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</si>
  <si>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</si>
  <si>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</si>
  <si>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</si>
  <si>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</si>
  <si>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</si>
  <si>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</si>
  <si>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</si>
  <si>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</si>
  <si>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</si>
  <si>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</si>
  <si>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</si>
  <si>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</si>
  <si>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</si>
  <si>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</si>
  <si>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</si>
  <si>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</si>
  <si>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</si>
  <si>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</si>
  <si>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</si>
  <si>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</si>
  <si>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</si>
  <si>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</si>
  <si>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</si>
  <si>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</si>
  <si>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</si>
  <si>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</si>
  <si>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</si>
  <si>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</si>
  <si>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</si>
  <si>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</si>
  <si>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</si>
  <si>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</si>
  <si>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</si>
  <si>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</si>
  <si>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</si>
  <si>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</si>
  <si>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</si>
  <si>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</si>
  <si>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</si>
  <si>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</si>
  <si>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</si>
  <si>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</si>
  <si>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</si>
  <si>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</si>
  <si>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</si>
  <si>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</si>
  <si>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</si>
  <si>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</si>
  <si>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</si>
  <si>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</si>
  <si>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</si>
  <si>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</si>
  <si>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</si>
  <si>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</si>
  <si>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</si>
  <si>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</si>
  <si>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</si>
  <si>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</si>
  <si>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</si>
  <si>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</si>
  <si>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</si>
  <si>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</si>
  <si>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</si>
  <si>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</si>
  <si>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</si>
  <si>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</si>
  <si>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</si>
  <si>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</si>
  <si>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</si>
  <si>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</si>
  <si>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</si>
  <si>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</si>
  <si>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</si>
  <si>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</si>
  <si>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</si>
  <si>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</si>
  <si>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</si>
  <si>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</si>
  <si>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</si>
  <si>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</si>
  <si>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</si>
  <si>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</si>
  <si>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</si>
  <si>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</si>
  <si>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</si>
  <si>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</si>
  <si>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</si>
  <si>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</si>
  <si>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</si>
  <si>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</si>
  <si>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</si>
  <si>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</si>
  <si>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</si>
  <si>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</si>
  <si>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</si>
  <si>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</si>
  <si>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</si>
  <si>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</si>
  <si>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</si>
  <si>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</si>
  <si>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</si>
  <si>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</si>
  <si>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</si>
  <si>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</si>
  <si>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</si>
  <si>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</si>
  <si>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</si>
  <si>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</si>
  <si>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</si>
  <si>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</si>
  <si>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</si>
  <si>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</si>
  <si>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</si>
  <si>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</si>
  <si>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</si>
  <si>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</si>
  <si>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</si>
  <si>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</si>
  <si>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</si>
  <si>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</si>
  <si>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</si>
  <si>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</si>
  <si>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</si>
  <si>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</si>
  <si>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</si>
  <si>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</si>
  <si>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</si>
  <si>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</si>
  <si>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</si>
  <si>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</si>
  <si>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</si>
  <si>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</si>
  <si>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</si>
  <si>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</si>
  <si>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</si>
  <si>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</si>
  <si>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</si>
  <si>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</si>
  <si>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</si>
  <si>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</si>
  <si>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</si>
  <si>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</si>
  <si>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</si>
  <si>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</si>
  <si>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</si>
  <si>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</si>
  <si>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</si>
  <si>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</si>
  <si>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</si>
  <si>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</si>
  <si>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</si>
  <si>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</si>
  <si>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</si>
  <si>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</si>
  <si>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</si>
  <si>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</si>
  <si>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</si>
  <si>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</si>
  <si>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</si>
  <si>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</si>
  <si>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</si>
  <si>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</si>
  <si>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</si>
  <si>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</si>
  <si>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</si>
  <si>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</si>
  <si>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</si>
  <si>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</si>
  <si>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</si>
  <si>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</si>
  <si>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</si>
  <si>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</si>
  <si>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</si>
  <si>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</si>
  <si>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</si>
  <si>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</si>
  <si>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</si>
  <si>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</si>
  <si>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</si>
  <si>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</si>
  <si>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</si>
  <si>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</si>
  <si>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</si>
  <si>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</si>
  <si>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</si>
  <si>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</si>
  <si>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</si>
  <si>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</si>
  <si>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</si>
  <si>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</si>
  <si>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</si>
  <si>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</si>
  <si>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</si>
  <si>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</si>
  <si>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</si>
  <si>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</si>
  <si>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</si>
  <si>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</si>
  <si>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</si>
  <si>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</si>
  <si>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</si>
  <si>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</si>
  <si>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</si>
  <si>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</si>
  <si>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</si>
  <si>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</si>
  <si>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</si>
  <si>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</si>
  <si>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</si>
  <si>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</si>
  <si>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</si>
  <si>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</si>
  <si>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</si>
  <si>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</si>
  <si>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</si>
  <si>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</si>
  <si>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</si>
  <si>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</si>
  <si>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</si>
  <si>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</si>
  <si>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</si>
  <si>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</si>
  <si>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</si>
  <si>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</si>
  <si>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</si>
  <si>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</si>
  <si>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</si>
  <si>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</si>
  <si>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</si>
  <si>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</si>
  <si>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</si>
  <si>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</si>
  <si>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</si>
  <si>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</si>
  <si>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</si>
  <si>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</si>
  <si>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</si>
  <si>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</si>
  <si>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</si>
  <si>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</si>
  <si>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</si>
  <si>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</si>
  <si>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</si>
  <si>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</si>
  <si>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</si>
  <si>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</si>
  <si>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</si>
  <si>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</si>
  <si>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</si>
  <si>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</si>
  <si>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</si>
  <si>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</si>
  <si>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</si>
  <si>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</si>
  <si>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</si>
  <si>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</si>
  <si>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</si>
  <si>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</si>
  <si>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</si>
  <si>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</si>
  <si>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</si>
  <si>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</si>
  <si>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</si>
  <si>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</si>
  <si>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</si>
  <si>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</si>
  <si>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</si>
  <si>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</si>
  <si>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</si>
  <si>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</si>
  <si>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</si>
  <si>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</si>
  <si>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</si>
  <si>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</si>
  <si>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</si>
  <si>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</si>
  <si>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</si>
  <si>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</si>
  <si>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</si>
  <si>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</si>
  <si>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</si>
  <si>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</si>
  <si>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</si>
  <si>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</si>
  <si>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</si>
  <si>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</si>
  <si>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</si>
  <si>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</si>
  <si>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</si>
  <si>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</si>
  <si>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</si>
  <si>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</si>
  <si>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</si>
  <si>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</si>
  <si>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</si>
  <si>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</si>
  <si>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</si>
  <si>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</si>
  <si>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</si>
  <si>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</si>
  <si>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</si>
  <si>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</si>
  <si>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</si>
  <si>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</si>
  <si>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</si>
  <si>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</si>
  <si>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</si>
  <si>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</si>
  <si>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</si>
  <si>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</si>
  <si>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</si>
  <si>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</si>
  <si>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</si>
  <si>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</si>
  <si>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</si>
  <si>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</si>
  <si>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</si>
  <si>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</si>
  <si>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</si>
  <si>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</si>
  <si>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</si>
  <si>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</si>
  <si>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</si>
  <si>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</si>
  <si>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</si>
  <si>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</si>
  <si>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</si>
  <si>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</si>
  <si>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</si>
  <si>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</si>
  <si>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</si>
  <si>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</si>
  <si>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</si>
  <si>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</si>
  <si>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</si>
  <si>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</si>
  <si>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</si>
  <si>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</si>
  <si>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</si>
  <si>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</si>
  <si>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</si>
  <si>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</si>
  <si>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</si>
  <si>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</si>
  <si>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</si>
  <si>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</si>
  <si>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</si>
  <si>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</si>
  <si>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</si>
  <si>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</si>
  <si>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</si>
  <si>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</si>
  <si>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</si>
  <si>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</si>
  <si>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</si>
  <si>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</si>
  <si>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</si>
  <si>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</si>
  <si>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</si>
  <si>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</si>
  <si>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</si>
  <si>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</si>
  <si>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</si>
  <si>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</si>
  <si>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</si>
  <si>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</si>
  <si>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</si>
  <si>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</si>
  <si>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</si>
  <si>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</si>
  <si>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</si>
  <si>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</si>
  <si>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</si>
  <si>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</si>
  <si>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</si>
  <si>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</si>
  <si>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</si>
  <si>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</si>
  <si>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</si>
  <si>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</si>
  <si>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</si>
  <si>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</si>
  <si>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</si>
  <si>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</si>
  <si>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</si>
  <si>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</si>
  <si>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</si>
  <si>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</si>
  <si>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</si>
  <si>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</si>
  <si>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</si>
  <si>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</si>
  <si>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</si>
  <si>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</si>
  <si>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</si>
  <si>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</si>
  <si>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</si>
  <si>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</si>
  <si>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</si>
  <si>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</si>
  <si>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</si>
  <si>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</si>
  <si>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</si>
  <si>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</si>
  <si>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</si>
  <si>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</si>
  <si>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</si>
  <si>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</si>
  <si>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</si>
  <si>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</si>
  <si>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</si>
  <si>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</si>
  <si>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</si>
  <si>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</si>
  <si>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</si>
  <si>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</si>
  <si>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</si>
  <si>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</si>
  <si>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</si>
  <si>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</si>
  <si>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</si>
  <si>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</si>
  <si>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</si>
  <si>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</si>
  <si>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</si>
  <si>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</si>
  <si>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</si>
  <si>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</si>
  <si>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</si>
  <si>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</si>
  <si>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</si>
  <si>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</si>
  <si>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</si>
  <si>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</si>
  <si>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</si>
  <si>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</si>
  <si>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</si>
  <si>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</si>
  <si>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</si>
  <si>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</si>
  <si>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</si>
  <si>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</si>
  <si>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</si>
  <si>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</si>
  <si>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</si>
  <si>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</si>
  <si>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</si>
  <si>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</si>
  <si>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</si>
  <si>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</si>
  <si>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</si>
  <si>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</si>
  <si>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</si>
  <si>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</si>
  <si>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</si>
  <si>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</si>
  <si>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</si>
  <si>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</si>
  <si>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</si>
  <si>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</si>
  <si>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</si>
  <si>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</si>
  <si>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</si>
  <si>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</si>
  <si>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</si>
  <si>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</si>
  <si>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</si>
  <si>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</si>
  <si>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</si>
  <si>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</si>
  <si>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</si>
  <si>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</si>
  <si>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</si>
  <si>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</si>
  <si>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</si>
  <si>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</si>
  <si>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</si>
  <si>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</si>
  <si>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</si>
  <si>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</si>
  <si>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</si>
  <si>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</si>
  <si>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</si>
  <si>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</si>
  <si>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</si>
  <si>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</si>
  <si>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</si>
  <si>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</si>
  <si>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</si>
  <si>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</si>
  <si>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</si>
  <si>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</si>
  <si>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</si>
  <si>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</si>
  <si>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</si>
  <si>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</si>
  <si>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</si>
  <si>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</si>
  <si>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</si>
  <si>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</si>
  <si>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</si>
  <si>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</si>
  <si>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</si>
  <si>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</si>
  <si>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</si>
  <si>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</si>
  <si>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</si>
  <si>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</si>
  <si>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</si>
  <si>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</si>
  <si>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</si>
  <si>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</si>
  <si>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</si>
  <si>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</si>
  <si>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</si>
  <si>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</si>
  <si>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</si>
  <si>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</si>
  <si>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</si>
  <si>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</si>
  <si>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</si>
  <si>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</si>
  <si>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</si>
  <si>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</si>
  <si>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</si>
  <si>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</si>
  <si>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</si>
  <si>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</si>
  <si>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</si>
  <si>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</si>
  <si>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</si>
  <si>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</si>
  <si>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</si>
  <si>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</si>
  <si>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</si>
  <si>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</si>
  <si>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</si>
  <si>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</si>
  <si>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</si>
  <si>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</si>
  <si>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</si>
  <si>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</si>
  <si>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</si>
  <si>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</si>
  <si>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</si>
  <si>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</si>
  <si>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</si>
  <si>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</si>
  <si>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</si>
  <si>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</si>
  <si>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</si>
  <si>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</si>
  <si>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</si>
  <si>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</si>
  <si>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</si>
  <si>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</si>
  <si>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</si>
  <si>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</si>
  <si>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</si>
  <si>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</si>
  <si>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</si>
  <si>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</si>
  <si>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</si>
  <si>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</si>
  <si>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</si>
  <si>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</si>
  <si>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</si>
  <si>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</si>
  <si>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</si>
  <si>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</si>
  <si>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</si>
  <si>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</si>
  <si>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</si>
  <si>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</si>
  <si>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</si>
  <si>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</si>
  <si>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</si>
  <si>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</si>
  <si>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</si>
  <si>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</si>
  <si>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</si>
  <si>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</si>
  <si>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</si>
  <si>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</si>
  <si>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</si>
  <si>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</si>
  <si>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</si>
  <si>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</si>
  <si>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</si>
  <si>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</si>
  <si>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</si>
  <si>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</si>
  <si>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</si>
  <si>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</si>
  <si>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</si>
  <si>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</si>
  <si>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</si>
  <si>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</si>
  <si>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</si>
  <si>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</si>
  <si>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</si>
  <si>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</si>
  <si>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</si>
  <si>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</si>
  <si>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</si>
  <si>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</si>
  <si>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</si>
  <si>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</si>
  <si>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</si>
  <si>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</si>
  <si>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</si>
  <si>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</si>
  <si>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</si>
  <si>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</si>
  <si>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</si>
  <si>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</si>
  <si>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</si>
  <si>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</si>
  <si>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</si>
  <si>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</si>
  <si>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</si>
  <si>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</si>
  <si>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</si>
  <si>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</si>
  <si>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</si>
  <si>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</si>
  <si>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</si>
  <si>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</si>
  <si>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</si>
  <si>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</si>
  <si>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</si>
  <si>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</si>
  <si>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</si>
  <si>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</si>
  <si>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</si>
  <si>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</si>
  <si>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</si>
  <si>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</si>
  <si>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</si>
  <si>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</si>
  <si>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</si>
  <si>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</si>
  <si>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</si>
  <si>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</si>
  <si>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</si>
  <si>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</si>
  <si>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</si>
  <si>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</si>
  <si>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</si>
  <si>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</si>
  <si>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</si>
  <si>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</si>
  <si>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</si>
  <si>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</si>
  <si>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</si>
  <si>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</si>
  <si>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</si>
  <si>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</si>
  <si>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</si>
  <si>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</si>
  <si>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</si>
  <si>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</si>
  <si>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</si>
  <si>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</si>
  <si>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</si>
  <si>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</si>
  <si>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</si>
  <si>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</si>
  <si>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</si>
  <si>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</si>
  <si>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</si>
  <si>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</si>
  <si>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</si>
  <si>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</si>
  <si>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</si>
  <si>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</si>
  <si>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</si>
  <si>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</si>
  <si>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</si>
  <si>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</si>
  <si>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</si>
  <si>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</si>
  <si>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</si>
  <si>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</si>
  <si>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</si>
  <si>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</si>
  <si>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</si>
  <si>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</si>
  <si>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</si>
  <si>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</si>
  <si>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</si>
  <si>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</si>
  <si>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</si>
  <si>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</si>
  <si>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</si>
  <si>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</si>
  <si>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</si>
  <si>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</si>
  <si>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</si>
  <si>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</si>
  <si>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</si>
  <si>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</si>
  <si>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</si>
  <si>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</si>
  <si>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</si>
  <si>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</si>
  <si>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</si>
  <si>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</si>
  <si>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</si>
  <si>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</si>
  <si>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</si>
  <si>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</si>
  <si>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</si>
  <si>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</si>
  <si>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</si>
  <si>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</si>
  <si>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</si>
  <si>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</si>
  <si>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</si>
  <si>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</si>
  <si>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</si>
  <si>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</si>
  <si>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</si>
  <si>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</si>
  <si>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</si>
  <si>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</si>
  <si>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</si>
  <si>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</si>
  <si>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</si>
  <si>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</si>
  <si>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</si>
  <si>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</si>
  <si>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</si>
  <si>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</si>
  <si>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</si>
  <si>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</si>
  <si>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</si>
  <si>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</si>
  <si>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</si>
  <si>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</si>
  <si>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</si>
  <si>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</si>
  <si>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</si>
  <si>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</si>
  <si>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</si>
  <si>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</si>
  <si>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</si>
  <si>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</si>
  <si>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</si>
  <si>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</si>
  <si>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</si>
  <si>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</si>
  <si>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</si>
  <si>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</si>
  <si>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</si>
  <si>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</si>
  <si>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</si>
  <si>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</si>
  <si>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</si>
  <si>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</si>
  <si>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</si>
  <si>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</si>
  <si>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</si>
  <si>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</si>
  <si>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</si>
  <si>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</si>
  <si>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</si>
  <si>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</si>
  <si>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</si>
  <si>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</si>
  <si>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</si>
  <si>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</si>
  <si>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</si>
  <si>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</si>
  <si>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</si>
  <si>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</si>
  <si>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</si>
  <si>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</si>
  <si>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</si>
  <si>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</si>
  <si>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</si>
  <si>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</si>
  <si>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</si>
  <si>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</si>
  <si>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</si>
  <si>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</si>
  <si>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</si>
  <si>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</si>
  <si>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</si>
  <si>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</si>
  <si>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</si>
  <si>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</si>
  <si>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</si>
  <si>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</si>
  <si>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</si>
  <si>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</si>
  <si>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</si>
  <si>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</si>
  <si>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</si>
  <si>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</si>
  <si>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</si>
  <si>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</si>
  <si>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</si>
  <si>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</si>
  <si>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</si>
  <si>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</si>
  <si>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</si>
  <si>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</si>
  <si>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</si>
  <si>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</si>
  <si>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</si>
  <si>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</si>
  <si>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</si>
  <si>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</si>
  <si>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</si>
  <si>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</si>
  <si>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</si>
  <si>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</si>
  <si>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</si>
  <si>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</si>
  <si>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</si>
  <si>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</si>
  <si>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</si>
  <si>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</si>
  <si>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</si>
  <si>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</si>
  <si>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</si>
  <si>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</si>
  <si>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</si>
  <si>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</si>
  <si>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</si>
  <si>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</si>
  <si>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</si>
  <si>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</si>
  <si>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</si>
  <si>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</si>
  <si>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</si>
  <si>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</si>
  <si>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</si>
  <si>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</si>
  <si>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</si>
  <si>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</si>
  <si>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</si>
  <si>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</si>
  <si>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</si>
  <si>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</si>
  <si>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</si>
  <si>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</si>
  <si>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</si>
  <si>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</si>
  <si>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</si>
  <si>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</si>
  <si>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</si>
  <si>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</si>
  <si>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</si>
  <si>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</si>
  <si>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</si>
  <si>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</si>
  <si>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</si>
  <si>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</si>
  <si>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</si>
  <si>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</si>
  <si>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</si>
  <si>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</si>
  <si>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</si>
  <si>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</si>
  <si>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</si>
  <si>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</si>
  <si>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</si>
  <si>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</si>
  <si>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</si>
  <si>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</si>
  <si>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</si>
  <si>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</si>
  <si>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</si>
  <si>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</si>
  <si>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</si>
  <si>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</si>
  <si>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</si>
  <si>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</si>
  <si>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</si>
  <si>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</si>
  <si>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</si>
  <si>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</si>
  <si>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</si>
  <si>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</si>
  <si>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</si>
  <si>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</si>
  <si>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</si>
  <si>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</si>
  <si>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</si>
  <si>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</si>
  <si>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</si>
  <si>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</si>
  <si>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</si>
  <si>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</si>
  <si>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</si>
  <si>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</si>
  <si>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</si>
  <si>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</si>
  <si>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</si>
  <si>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</si>
  <si>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</si>
  <si>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</si>
  <si>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</si>
  <si>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</si>
  <si>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</si>
  <si>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</si>
  <si>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</si>
  <si>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</si>
  <si>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</si>
  <si>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</si>
  <si>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</si>
  <si>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</si>
  <si>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</si>
  <si>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</si>
  <si>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</si>
  <si>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</si>
  <si>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</si>
  <si>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</si>
  <si>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</si>
  <si>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</si>
  <si>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</si>
  <si>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</si>
  <si>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</si>
  <si>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</si>
  <si>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</si>
  <si>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</si>
  <si>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</si>
  <si>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</si>
  <si>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</si>
  <si>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</si>
  <si>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</si>
  <si>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</si>
  <si>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</si>
  <si>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</si>
  <si>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</si>
  <si>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</si>
  <si>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</si>
  <si>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</si>
  <si>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</si>
  <si>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</si>
  <si>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</si>
  <si>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</si>
  <si>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</si>
  <si>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</si>
  <si>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</si>
  <si>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</si>
  <si>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</si>
  <si>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</si>
  <si>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</si>
  <si>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</si>
  <si>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</si>
  <si>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</si>
  <si>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</si>
  <si>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</si>
  <si>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</si>
  <si>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</si>
  <si>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</si>
  <si>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</si>
  <si>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</si>
  <si>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</si>
  <si>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</si>
  <si>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</si>
  <si>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</si>
  <si>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</si>
  <si>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</si>
  <si>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</si>
  <si>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</si>
  <si>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</si>
  <si>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</si>
  <si>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</si>
  <si>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</si>
  <si>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</si>
  <si>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</si>
  <si>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</si>
  <si>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</si>
  <si>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</si>
  <si>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</si>
  <si>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</si>
  <si>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</si>
  <si>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</si>
  <si>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</si>
  <si>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</si>
  <si>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</si>
  <si>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</si>
  <si>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</si>
  <si>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</si>
  <si>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</si>
  <si>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</si>
  <si>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</si>
  <si>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</si>
  <si>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</si>
  <si>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</si>
  <si>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</si>
  <si>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</si>
  <si>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</si>
  <si>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</si>
  <si>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</si>
  <si>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</si>
  <si>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</si>
  <si>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</si>
  <si>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</si>
  <si>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</si>
  <si>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</si>
  <si>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</si>
  <si>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</si>
  <si>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</si>
  <si>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</si>
  <si>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</si>
  <si>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</si>
  <si>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</si>
  <si>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</si>
  <si>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</si>
  <si>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</si>
  <si>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</si>
  <si>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</si>
  <si>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</si>
  <si>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</si>
  <si>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</si>
  <si>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</si>
  <si>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</si>
  <si>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</si>
  <si>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</si>
  <si>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</si>
  <si>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</si>
  <si>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</si>
  <si>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</si>
  <si>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</si>
  <si>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</si>
  <si>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</si>
  <si>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</si>
  <si>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</si>
  <si>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</si>
  <si>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</si>
  <si>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</si>
  <si>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</si>
  <si>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</si>
  <si>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</si>
  <si>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</si>
  <si>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</si>
  <si>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</si>
  <si>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</si>
  <si>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</si>
  <si>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</si>
  <si>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</si>
  <si>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</si>
  <si>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</si>
  <si>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</si>
  <si>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</si>
  <si>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</si>
  <si>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</si>
  <si>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</si>
  <si>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</si>
  <si>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</si>
  <si>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</si>
  <si>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</si>
  <si>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</si>
  <si>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</si>
  <si>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</si>
  <si>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</si>
  <si>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</si>
  <si>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</si>
  <si>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</si>
  <si>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</si>
  <si>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</si>
  <si>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</si>
  <si>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</si>
  <si>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</si>
  <si>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</si>
  <si>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</si>
  <si>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</si>
  <si>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</si>
  <si>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</si>
  <si>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</si>
  <si>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</si>
  <si>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</si>
  <si>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</si>
  <si>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</si>
  <si>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</si>
  <si>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</si>
  <si>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</si>
  <si>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</si>
  <si>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</si>
  <si>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</si>
  <si>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</si>
  <si>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</si>
  <si>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</si>
  <si>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</si>
  <si>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</si>
  <si>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</si>
  <si>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</si>
  <si>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</si>
  <si>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</si>
  <si>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</si>
  <si>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</si>
  <si>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</si>
  <si>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</si>
  <si>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</si>
  <si>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</si>
  <si>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</si>
  <si>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</si>
  <si>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</si>
  <si>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</si>
  <si>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</si>
  <si>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</si>
  <si>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</si>
  <si>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</si>
  <si>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</si>
  <si>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</si>
  <si>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</si>
  <si>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</si>
  <si>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</si>
  <si>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</si>
  <si>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</si>
  <si>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</si>
  <si>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</si>
  <si>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</si>
  <si>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</si>
  <si>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</si>
  <si>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</si>
  <si>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</si>
  <si>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</si>
  <si>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</si>
  <si>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</si>
  <si>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</si>
  <si>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</si>
  <si>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</si>
  <si>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</si>
  <si>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</si>
  <si>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</si>
  <si>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</si>
  <si>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</si>
  <si>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</si>
  <si>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</si>
  <si>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</si>
  <si>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</si>
  <si>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</si>
  <si>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</si>
  <si>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</si>
  <si>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</si>
  <si>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</si>
  <si>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</si>
  <si>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</si>
  <si>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</si>
  <si>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</si>
  <si>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</si>
  <si>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</si>
  <si>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</si>
  <si>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</si>
  <si>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</si>
  <si>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</si>
  <si>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</si>
  <si>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</si>
  <si>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</si>
  <si>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</si>
  <si>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</si>
  <si>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</si>
  <si>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</si>
  <si>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</si>
  <si>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</si>
  <si>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</si>
  <si>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</si>
  <si>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</si>
  <si>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</si>
  <si>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</si>
  <si>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</si>
  <si>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</si>
  <si>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</si>
  <si>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</si>
  <si>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</si>
  <si>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</si>
  <si>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</si>
  <si>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</si>
  <si>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</si>
  <si>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</si>
  <si>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</si>
  <si>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</si>
  <si>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</si>
  <si>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</si>
  <si>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</si>
  <si>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</si>
  <si>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</si>
  <si>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</si>
  <si>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</si>
  <si>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</si>
  <si>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</si>
  <si>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</si>
  <si>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</si>
  <si>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</si>
  <si>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</si>
  <si>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</si>
  <si>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</si>
  <si>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</si>
  <si>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</si>
  <si>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</si>
  <si>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</si>
  <si>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</si>
  <si>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</si>
  <si>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</si>
  <si>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</si>
  <si>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</si>
  <si>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</si>
  <si>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</si>
  <si>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</si>
  <si>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</si>
  <si>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</si>
  <si>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</si>
  <si>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</si>
  <si>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</si>
  <si>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</si>
  <si>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</si>
  <si>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</si>
  <si>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</si>
  <si>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</si>
  <si>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</si>
  <si>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</si>
  <si>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</si>
  <si>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</si>
  <si>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</si>
  <si>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</si>
  <si>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</si>
  <si>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</si>
  <si>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</si>
  <si>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</si>
  <si>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</si>
  <si>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</si>
  <si>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</si>
  <si>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</si>
  <si>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</si>
  <si>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</si>
  <si>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</si>
  <si>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</si>
  <si>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</si>
  <si>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</si>
  <si>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</si>
  <si>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</si>
  <si>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</si>
  <si>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</si>
  <si>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</si>
  <si>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</si>
  <si>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</si>
  <si>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</si>
  <si>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</si>
  <si>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Graciosa</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</si>
  <si>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</si>
  <si>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Particulares</t>
  </si>
  <si>
    <t>Incremento de eficiência dos sistemas de AQS</t>
  </si>
  <si>
    <t>Redutores de caudal AQS em 25% das casas</t>
  </si>
  <si>
    <t>Melhorias de eficiência térmica dos edifícios devidas à Certificação Energética</t>
  </si>
  <si>
    <t>Troca de 25% das lâmpadas por CFL e LED</t>
  </si>
  <si>
    <t>Troca de 20% dos frigoríficos por mais eficientes</t>
  </si>
  <si>
    <t>Melhoria da eficiência dos aparelhos audio visuais e redução de consumos de stand-by</t>
  </si>
  <si>
    <t>200 painéis solares térmicos de 2m2 cada, para AQS</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</si>
  <si>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</si>
  <si>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</si>
  <si>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</si>
  <si>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</si>
  <si>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</si>
  <si>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100 veículos eléctricos</t>
  </si>
  <si>
    <t>EDA</t>
  </si>
  <si>
    <t>Ampliação do Parque Eólico da Serra Branca - 0.46 MW</t>
  </si>
  <si>
    <t>Instalação de 0.4 MW de solar fotovoltáico no sector residencial</t>
  </si>
  <si>
    <t>GDA</t>
  </si>
  <si>
    <t>Central de cogeração a biomassa lenhosa - 1.5 MW</t>
  </si>
  <si>
    <t>Plano de Acção para a Energia Sustentável da Ilha Graciosa</t>
  </si>
  <si>
    <t>Direcção Regional de Energia</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</si>
  <si>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</si>
  <si>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</si>
  <si>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</si>
  <si>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</si>
  <si>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</si>
  <si>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7.6 milhões de euros até 2020 - 63.3% Particulares; 7.2% Empresas públicas; 29.5% Investimento Privado</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</si>
</sst>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0" xfID_"0" applyFont="1" applyBorder="1" applyAlignment="1" applyProtection="1"><alignment vertical="center"/></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5" t="str"><f>Translation!$A$31</f><v>Plano de Acção para a Energia Sustentável nas Ilhas (PAES)</v></c><c r="C1" s="245"/><c r="D1" s="82"/><c r="E1" s="82"/><c r="F1" s="82"/><c r="G1" s="82"/><c r="H1" s="82"/><c r="I1" s="82"/><c r="J1" s="82"/><c r="K1" s="82"/><c r="L1" s="82"/><c r="M1" s="82"/><c r="N1" s="82"/></row><row r="2" spans="1:31" s="21" customFormat="1" ht="28.5" customHeight="1" x14ac:dyDescent="0.25"><c r="A2" s="246" t="s"><v>1464</v></c><c r="B2" s="246"/><c r="C2" s="114"/><c r="D2" s="77"/><c r="E2" s="77"/><c r="F2" s="78" t="str"><f>Translation!$A$10</f><v>Ilha</v></c><c r="G2" s="79" t="str"><f>'Start here'!$B$5</f><v>Graciosa</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8" t="str"><f>Translation!A24</f><v>Conteúdo</v></c><c r="C11" s="248"/></row><row r="12" spans="1:31" ht="15.75" x14ac:dyDescent="0.25"><c r="A12" s="202" t="s"><v>519</v></c><c r="B12" s="247" t="str"><f>Translation!A25</f><v>Tem por objectivo permitir a tradução das tabelas.</v></c><c r="C12" s="247"/></row><row r="13" spans="1:31" ht="15.75" x14ac:dyDescent="0.25"><c r="A13" s="202" t="s"><v>518</v></c><c r="B13" s="249" t="str"><f>Translation!A26</f><v>Para inserir os factores de emissão de CO2 para o cálculo das emissões.</v></c><c r="C13" s="249"/></row><row r="14" spans="1:31" ht="15.75" x14ac:dyDescent="0.25"><c r="A14" s="202" t="s"><v>811</v></c><c r="B14" s="249" t="str"><f>Translation!A27</f><v>Para establecer as metas do ISEAP, a visão a longo prazo e os aspectos oganizacionais e de financiamento.</v></c><c r="C14" s="249"/></row><row r="15" spans="1:31" ht="15.75" x14ac:dyDescent="0.25"><c r="A15" s="202" t="s"><v>812</v></c><c r="B15" s="249" t="str"><f>Translation!A28</f><v>Para apresentar o balanço energético do ano base e o inventário de emissões de CO2.</v></c><c r="C15" s="249"/></row><row r="16" spans="1:31" ht="15.75" x14ac:dyDescent="0.25"><c r="A16" s="202" t="s"><v>853</v></c><c r="B16" s="247" t="str"><f>Translation!A29</f><v>Para apresentar o balanço energético do plano em 2020 e o inventário de emissões de CO2.</v></c><c r="C16" s="247"/></row><row r="17" spans="1:14" ht="15.75" x14ac:dyDescent="0.25"><c r="A17" s="202" t="s"><v>813</v></c><c r="B17" s="247" t="str"><f>Translation!A30</f><v>Para apresentar a lista das acções para a energia sustentável, os investimentos e a redução das emissões de CO2.</v></c><c r="C17" s="247"/></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4"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44"/><c r="C24" s="244"/><c r="D24" s="216"/><c r="E24" s="216"/><c r="F24" s="216"/><c r="G24" s="216"/><c r="H24" s="216"/><c r="I24" s="216"/><c r="J24" s="216"/><c r="K24" s="216"/><c r="L24" s="216"/><c r="M24" s="216"/><c r="N24" s="216"/></row><row r="25" spans="1:14" s="217" customFormat="1" ht="193.5" customHeight="1" x14ac:dyDescent="0.25"><c r="A25" s="244"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44"/><c r="C25" s="244"/><c r="D25" s="216"/><c r="E25" s="216"/><c r="F25" s="216"/><c r="G25" s="216"/><c r="H25" s="216"/><c r="I25" s="216"/><c r="J25" s="216"/><c r="K25" s="216"/><c r="L25" s="216"/><c r="M25" s="216"/><c r="N25" s="216"/></row><row r="26" spans="1:14" s="217" customFormat="1" ht="178.5" customHeight="1" x14ac:dyDescent="0.25"><c r="A26" s="244"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44"/><c r="C26" s="244"/><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0" t="str"><f>Translation!$A$31</f><v>Plano de Acção para a Energia Sustentável nas Ilhas (PAES)</v></c><c r="B1" s="250"/><c r="C1" s="250"/><c r="D1" s="250"/><c r="E1" s="250"/><c r="F1" s="250"/><c r="G1" s="250"/><c r="H1" s="250"/><c r="I1" s="250"/><c r="J1" s="250"/><c r="K1" s="250"/><c r="L1" s="250"/></row><row r="2" spans="1:12" s="21" customFormat="1" ht="28.5" customHeight="1" x14ac:dyDescent="0.25"><c r="A2" s="246" t="s"><v>1464</v></c><c r="B2" s="246"/><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0" t="str"><f>Translation!$A$31</f><v>Plano de Acção para a Energia Sustentável nas Ilhas (PAES)</v></c><c r="C1" s="250"/><c r="D1" s="250"/><c r="E1" s="250"/><c r="F1" s="250"/><c r="G1" s="250"/><c r="H1" s="250"/><c r="I1" s="250"/><c r="J1" s="250"/><c r="K1" s="250"/><c r="L1" s="250"/><c r="M1" s="250"/><c r="N1" s="250"/><c r="O1" s="250"/><c r="P1" s="250"/><c r="Q1" s="250"/><c r="R1" s="250"/><c r="S1" s="250"/><c r="T1" s="250"/></row><row r="2" spans="1:22" s="21" customFormat="1" ht="28.5" customHeight="1" x14ac:dyDescent="0.25"><c r="A2" s="251" t="s"><v>1465</v></c><c r="B2" s="251"/><c r="C2" s="251"/><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54"/><c r="B5" s="254"/><c r="C5" s="259" t="str"><f>Translation!A99</f><v>Combustíveis fósseis</v></c><c r="D5" s="259"/><c r="E5" s="259"/><c r="F5" s="259"/><c r="G5" s="259"/><c r="H5" s="259"/><c r="I5" s="259"/><c r="J5" s="259" t="str"><f>Translation!A108</f><v>Fontes energéticas renováveis</v></c><c r="K5" s="259"/><c r="L5" s="259"/><c r="M5" s="259"/><c r="N5" s="259"/><c r="O5" s="259"/><c r="P5" s="259"/><c r="Q5" s="259"/><c r="R5" s="259"/><c r="S5" s="254" t="str"><f>Translation!A124</f><v>Electricidade</v></c><c r="T5" s="254"/><c r="U5" s="166"/><c r="V5" s="257" t="s"><v>522</v></c></row><row r="6" spans="1:22" ht="49.5" customHeight="1" x14ac:dyDescent="0.25"><c r="A6" s="254"/><c r="B6" s="254"/><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8"/></row><row r="7" spans="1:22" s="164" customFormat="1" ht="20.25" customHeight="1" x14ac:dyDescent="0.25"><c r="A7" s="255" t="str"><f>'Start here'!F7</f><v>Factores de emissão IPCC</v></c><c r="B7" s="256"/><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2" t="str"><f>Translation!A14</f><v>Factores de emissão IPCC</v></c><c r="B9" s="253"/><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2" t="str"><f>Translation!A15</f><v>Factores de emissão com Análise do Ciclo de Vida (LCA)</v></c><c r="B10" s="253"/><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3" zoomScale="70" zoomScaleNormal="70" workbookViewID_"0"><selection activeCell="D18" sqref="D18:R18"/></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row><row r="2" spans="1:18" s="21" customFormat="1" ht="28.5" customHeight="1" x14ac:dyDescent="0.25"><c r="A2" s="77"/><c r="B2" s="212" t="s"><v>1466</v></c><c r="C2" s="77"/><c r="D2" s="77"/><c r="E2" s="77"/><c r="F2" s="78" t="str"><f>Translation!$A$10</f><v>Ilha</v></c><c r="G2" s="79" t="str"><f>'Start here'!$B$5</f><v>Graciosa</v></c><c r="H2" s="81"/><c r="I2" s="81"/><c r="J2" s="81"/><c r="K2" s="81"/><c r="L2" s="81"/><c r="M2" s="81"/><c r="N2" s="81"/><c r="O2" s="81"/><c r="P2" s="81"/><c r="Q2" s="81"/><c r="R2" s="81"/></row><row r="3" spans="1:18" ht="28.5" customHeight="1" x14ac:dyDescent="0.2"><c r="A3" s="263"/><c r="B3" s="263"/><c r="C3" s="263"/><c r="D3" s="263"/><c r="E3" s="263"/><c r="F3" s="263"/><c r="G3" s="263"/><c r="H3" s="263"/><c r="I3" s="263"/><c r="J3" s="118"/><c r="K3" s="118"/><c r="Q3" s="27"/></row><row r="4" spans="1:18" ht="39.75" customHeight="1" x14ac:dyDescent="0.2"><c r="A4" s="264" t="str"><f>Translation!A33</f><v>ESTRATÉGIA GLOBAL</v></c><c r="B4" s="264"/><c r="C4" s="264"/><c r="D4" s="264"/><c r="E4" s="264"/><c r="F4" s="264"/><c r="G4" s="264"/><c r="H4" s="264"/><c r="I4" s="264"/><c r="J4" s="264"/><c r="K4" s="264"/><c r="L4" s="264"/><c r="M4" s="264"/><c r="N4" s="264"/><c r="O4" s="264"/><c r="P4" s="264"/><c r="Q4" s="264"/><c r="R4" s="264"/></row><row r="5" spans="1:18" ht="21" x14ac:dyDescent="0.35"><c r="A5" s="128"/><c r="B5" s="137"/><c r="C5" s="138"/><c r="D5" s="139"/><c r="E5" s="139"/><c r="F5" s="139"/><c r="G5" s="140"/><c r="H5" s="141"/><c r="P5" s="268" t="str"><f>Translation!$A$53</f><v>Campos obrigatórios</v></c><c r="Q5" s="268"/><c r="R5" s="268"/></row><row r="6" spans="1:18" ht="31.5" x14ac:dyDescent="0.25"><c r="A6" s="156"/><c r="B6" s="157"/><c r="J6" s="158" t="str"><f>Translation!A36</f><v>Redução absoluta</v></c><c r="L6" s="158" t="str"><f>Translation!A38</f><v>Redução per capita</v></c></row><row r="7" spans="1:18" s="160" customFormat="1" ht="36" x14ac:dyDescent="0.35"><c r="A7" s="112" t="s"><v>0</v></c><c r="B7" s="266" t="str"><f>Translation!A34</f><v>META GLOBAL DE REDUÇÃO DAS EMISSÕES DE CO2 EM 2020</v></c><c r="C7" s="266"/><c r="D7" s="266"/><c r="E7" s="266"/><c r="F7" s="266"/><c r="G7" s="266"/><c r="H7" s="266"/><c r="I7" s="267"/><c r="J7" s="235"><v>0.2</v></c><c r="K7" s="159" t="str"><f>Translation!A37</f><v>ou</v></c><c r="L7" s="235"><v>0.2</v></c><c r="M7" s="265" t="str"><f>Translation!$A$35</f><v>Por favor escolha a opção pretendida</v></c><c r="N7" s="265"/><c r="O7" s="265"/></row><row r="8" spans="1:18" s="207" customFormat="1" ht="12" x14ac:dyDescent="0.2"><c r="A8" s="205"/><c r="B8" s="206"/><c r="D8" s="208"/><c r="E8" s="208"/><c r="F8" s="208"/><c r="G8" s="209"/><c r="H8" s="210"/><c r="J8" s="211"><f>IF('Baseline emission inventory'!Y143&gt;0,('Baseline emission inventory'!Y143-'Plan emission inventory in 2020'!Y143)/'Baseline emission inventory'!Y143,0)</f><v>0.25105418377388128</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0.16424455507494476</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0" t="s"><v>1512</v></c><c r="C11" s="261"/><c r="D11" s="261"/><c r="E11" s="261"/><c r="F11" s="261"/><c r="G11" s="261"/><c r="H11" s="261"/><c r="I11" s="261"/><c r="J11" s="261"/><c r="K11" s="261"/><c r="L11" s="261"/><c r="M11" s="261"/><c r="N11" s="261"/><c r="O11" s="261"/><c r="P11" s="261"/><c r="Q11" s="261"/><c r="R11" s="262"/></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73" t="str"><f>Translation!A42</f><v>Estruturas de coordenação e organização criadas/designadas</v></c><c r="C14" s="274"/><c r="D14" s="260" t="s"><v>1534</v></c><c r="E14" s="261"/><c r="F14" s="261"/><c r="G14" s="261"/><c r="H14" s="261"/><c r="I14" s="261"/><c r="J14" s="261"/><c r="K14" s="261"/><c r="L14" s="261"/><c r="M14" s="261"/><c r="N14" s="261"/><c r="O14" s="261"/><c r="P14" s="261"/><c r="Q14" s="261"/><c r="R14" s="262"/></row><row r="15" spans="1:18" ht="60.75" customHeight="1" x14ac:dyDescent="0.3"><c r="A15" s="144"/><c r="B15" s="273" t="str"><f>Translation!A43</f><v>Meios humanos alocados</v></c><c r="C15" s="274"/><c r="D15" s="260" t="s"><v>1535</v></c><c r="E15" s="261"/><c r="F15" s="261"/><c r="G15" s="261"/><c r="H15" s="261"/><c r="I15" s="261"/><c r="J15" s="261"/><c r="K15" s="261"/><c r="L15" s="261"/><c r="M15" s="261"/><c r="N15" s="261"/><c r="O15" s="261"/><c r="P15" s="261"/><c r="Q15" s="261"/><c r="R15" s="262"/></row><row r="16" spans="1:18" ht="60.75" customHeight="1" x14ac:dyDescent="0.3"><c r="A16" s="144"/><c r="B16" s="273" t="str"><f>Translation!A44</f><v>Envolvimento de partes interessadas e cidadãos</v></c><c r="C16" s="274"/><c r="D16" s="260" t="s"><v>1536</v></c><c r="E16" s="261"/><c r="F16" s="261"/><c r="G16" s="261"/><c r="H16" s="261"/><c r="I16" s="261"/><c r="J16" s="261"/><c r="K16" s="261"/><c r="L16" s="261"/><c r="M16" s="261"/><c r="N16" s="261"/><c r="O16" s="261"/><c r="P16" s="261"/><c r="Q16" s="261"/><c r="R16" s="262"/></row><row r="17" spans="1:18" ht="60.75" customHeight="1" x14ac:dyDescent="0.3"><c r="A17" s="144"/><c r="B17" s="273" t="str"><f>Translation!A45</f><v>Orçamento global estimado</v></c><c r="C17" s="274"/><c r="D17" s="260" t="s"><v>1539</v></c><c r="E17" s="261"/><c r="F17" s="261"/><c r="G17" s="261"/><c r="H17" s="261"/><c r="I17" s="261"/><c r="J17" s="261"/><c r="K17" s="261"/><c r="L17" s="261"/><c r="M17" s="261"/><c r="N17" s="261"/><c r="O17" s="261"/><c r="P17" s="261"/><c r="Q17" s="261"/><c r="R17" s="262"/></row><row r="18" spans="1:18" ht="60.75" customHeight="1" x14ac:dyDescent="0.3"><c r="A18" s="144"/><c r="B18" s="273" t="str"><f>Translation!A46</f><v>Fontes de financiamento previstas para os investimentos do plano de acção</v></c><c r="C18" s="274"/><c r="D18" s="260" t="s"><v>1537</v></c><c r="E18" s="261"/><c r="F18" s="261"/><c r="G18" s="261"/><c r="H18" s="261"/><c r="I18" s="261"/><c r="J18" s="261"/><c r="K18" s="261"/><c r="L18" s="261"/><c r="M18" s="261"/><c r="N18" s="261"/><c r="O18" s="261"/><c r="P18" s="261"/><c r="Q18" s="261"/><c r="R18" s="262"/></row><row r="19" spans="1:18" ht="60.75" customHeight="1" x14ac:dyDescent="0.3"><c r="A19" s="144"/><c r="B19" s="273" t="str"><f>Translation!A47</f><v>Medidas previstas de monitorização e acompanhamento</v></c><c r="C19" s="274"/><c r="D19" s="260" t="s"><v>1538</v></c><c r="E19" s="261"/><c r="F19" s="261"/><c r="G19" s="261"/><c r="H19" s="261"/><c r="I19" s="261"/><c r="J19" s="261"/><c r="K19" s="261"/><c r="L19" s="261"/><c r="M19" s="261"/><c r="N19" s="261"/><c r="O19" s="261"/><c r="P19" s="261"/><c r="Q19" s="261"/><c r="R19" s="262"/></row><row r="20" spans="1:18" ht="23.25" customHeight="1" x14ac:dyDescent="0.2"><c r="A20" s="144"/><c r="B20" s="161"/><c r="C20" s="161"/><c r="D20" s="161"/><c r="E20" s="161"/><c r="F20" s="161"/><c r="G20" s="161"/><c r="H20" s="161"/><c r="I20" s="161"/></row><row r="21" spans="1:18" ht="23.25" x14ac:dyDescent="0.35"><c r="A21" s="144"/><c r="B21" s="269" t="str"><f>Translation!A48</f><v xml:space="preserve">Continue na próxima página dedicada ao Inventário de Emissões do ano Base </v></c><c r="C21" s="270"/><c r="D21" s="270"/><c r="E21" s="270"/><c r="F21" s="270"/><c r="G21" s="270"/><c r="H21" s="270"/><c r="I21" s="270"/><c r="J21" s="270"/><c r="K21" s="270"/><c r="L21" s="270"/><c r="M21" s="270"/><c r="N21" s="270"/><c r="O21" s="270"/><c r="P21" s="270"/><c r="Q21" s="270"/><c r="R21" s="270"/></row><row r="22" spans="1:18" ht="13.5" customHeight="1" x14ac:dyDescent="0.2"><c r="A22" s="144"/><c r="B22" s="161"/><c r="C22" s="161"/><c r="D22" s="161"/><c r="E22" s="161"/><c r="F22" s="161"/><c r="G22" s="161"/><c r="H22" s="161"/><c r="I22" s="161"/></row><row r="23" spans="1:18" s="21" customFormat="1" ht="12.75" customHeight="1" x14ac:dyDescent="0.25"><c r="B23"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71"/><c r="D23" s="271"/><c r="E23" s="271"/><c r="F23" s="271"/><c r="G23" s="271"/><c r="H23" s="271"/><c r="I23" s="271"/><c r="J23" s="271"/><c r="K23" s="271"/><c r="L23" s="271"/><c r="M23" s="271"/><c r="N23" s="271"/><c r="O23" s="271"/><c r="P23" s="271"/><c r="Q23" s="271"/><c r="R23" s="271"/></row><row r="24" spans="1:18" s="21" customFormat="1" ht="12.75" customHeight="1" x14ac:dyDescent="0.25"><c r="B24" s="271"/><c r="C24" s="271"/><c r="D24" s="271"/><c r="E24" s="271"/><c r="F24" s="271"/><c r="G24" s="271"/><c r="H24" s="271"/><c r="I24" s="271"/><c r="J24" s="271"/><c r="K24" s="271"/><c r="L24" s="271"/><c r="M24" s="271"/><c r="N24" s="271"/><c r="O24" s="271"/><c r="P24" s="271"/><c r="Q24" s="271"/><c r="R24" s="271"/></row><row r="25" spans="1:18" s="21" customFormat="1" ht="12.75" customHeight="1" x14ac:dyDescent="0.25"><c r="B25" s="271"/><c r="C25" s="271"/><c r="D25" s="271"/><c r="E25" s="271"/><c r="F25" s="271"/><c r="G25" s="271"/><c r="H25" s="271"/><c r="I25" s="271"/><c r="J25" s="271"/><c r="K25" s="271"/><c r="L25" s="271"/><c r="M25" s="271"/><c r="N25" s="271"/><c r="O25" s="271"/><c r="P25" s="271"/><c r="Q25" s="271"/><c r="R25" s="271"/></row><row r="27" spans="1:18" s="162" customFormat="1" ht="15.75" x14ac:dyDescent="0.25"><c r="B27" s="272"/><c r="C27" s="272"/><c r="D27" s="272"/><c r="E27" s="272"/><c r="F27" s="272"/><c r="G27" s="272"/><c r="H27" s="272"/><c r="I27" s="272"/><c r="J27" s="272"/><c r="K27" s="272"/><c r="L27" s="272"/><c r="M27" s="272"/><c r="N27" s="272"/><c r="O27" s="272"/></row></sheetData><mergeCells count="22"><mergeCell ref="B21:R21"/><mergeCell ref="B23:R25"/><mergeCell ref="B27:O27"/><mergeCell ref="A1:R1"/><mergeCell ref="B17:C17"/><mergeCell ref="B18:C18"/><mergeCell ref="B19:C19"/><mergeCell ref="B14:C14"/><mergeCell ref="B15:C15"/><mergeCell ref="B16:C16"/><mergeCell ref="B11:R11"/><mergeCell ref="A3:I3"/><mergeCell ref="A4:R4"/><mergeCell ref="M7:O7"/><mergeCell ref="B7:I7"/><mergeCell ref="P5:R5"/><mergeCell ref="D17:R17"/><mergeCell ref="D18:R18"/><mergeCell ref="D19:R19"/><mergeCell ref="D14:R14"/><mergeCell ref="D15:R15"/><mergeCell ref="D16:R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Graciosa</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64" t="str"><f>Translation!A49</f><v>INVENTÁRIO DE EMISSÕES NO ANO BASE</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4910</v></c><c r="D8" s="316"/><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4350.68</v></c><c r="D17" s="236"><f>SUM(D18:D26)</f><v>0</v></c><c r="E17" s="236"><f>SUM(E18:E26)</f><v>0</v></c><c r="F17" s="64"><f t="shared" ref="F17:F51" si="0">SUM(C17:E17)</f><v>4350.68</v></c><c r="G17" s="236"><f t="shared" ref="G17:L17" si="1">SUM(G18:G26)</f><v>0</v></c><c r="H17" s="236"><f t="shared" si="1"/><v>0</v></c><c r="I17" s="236"><f t="shared" si="1"/><v>0</v></c><c r="J17" s="236"><f t="shared" si="1"/><v>5129</v></c><c r="K17" s="236"><f t="shared" si="1"/><v>0</v></c><c r="L17" s="236"><f t="shared" si="1"/><v>0</v></c><c r="M17" s="64"><f t="shared" ref="M17:M51" si="2">SUM(G17:L17)</f><v>5129</v></c><c r="N17" s="236"><f t="shared" ref="N17:S17" si="3">SUM(N18:N26)</f><v>0</v></c><c r="O17" s="236"><f t="shared" si="3"/><v>0</v></c><c r="P17" s="236"><f t="shared" si="3"/><v>0</v></c><c r="Q17" s="236"><f t="shared" si="3"/><v>0</v></c><c r="R17" s="236"><f t="shared" si="3"/><v>0</v></c><c r="S17" s="236"><f t="shared" si="3"/><v>0</v></c><c r="T17" s="64"><f t="shared" ref="T17" si="4">SUM(N17:S17)</f><v>0</v></c><c r="U17" s="64"><f t="shared" ref="U17" si="5">F17+M17+T17</f><v>9479.68</v></c></row><row r="18" spans="1:21" s="21" customFormat="1" ht="15.75" x14ac:dyDescent="0.25"><c r="A18" s="22"/><c r="B18" s="182" t="str"><f>Translation!A61</f><v>Água quente</v></c><c r="C18" s="154"><v>4350.68</v></c><c r="D18" s="154"/><c r="E18" s="154"/><c r="F18" s="64"><f t="shared" si="0"/><v>4350.68</v></c><c r="G18" s="154"/><c r="H18" s="154"/><c r="I18" s="154"/><c r="J18" s="154"><v>5129</v></c><c r="K18" s="154"/><c r="L18" s="154"/><c r="M18" s="64"><f t="shared" si="2"/><v>5129</v></c><c r="N18" s="154"/><c r="O18" s="154"/><c r="P18" s="154"/><c r="Q18" s="154"/><c r="R18" s="154"/><c r="S18" s="154"/><c r="T18" s="64"><f t="shared" ref="T18:T51" si="6">SUM(N18:S18)</f><v>0</v></c><c r="U18" s="64"><f t="shared" ref="U18:U51" si="7">F18+M18+T18</f><v>9479.68</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142</v></c><c r="D27" s="236"><f>SUM(D28:D29)</f><v>0</v></c><c r="E27" s="236"><f>SUM(E28:E29)</f><v>0</v></c><c r="F27" s="64"><f t="shared" si="0"/><v>142</v></c><c r="G27" s="236"><f t="shared" ref="G27:L27" si="8">SUM(G28:G29)</f><v>0</v></c><c r="H27" s="236"><f t="shared" si="8"/><v>7737</v></c><c r="I27" s="236"><f t="shared" si="8"/><v>0</v></c><c r="J27" s="236"><f t="shared" si="8"/><v>0</v></c><c r="K27" s="236"><f t="shared" si="8"/><v>0</v></c><c r="L27" s="236"><f t="shared" si="8"/><v>0</v></c><c r="M27" s="64"><f t="shared" si="2"/><v>7737</v></c><c r="N27" s="236"><f t="shared" ref="N27:S27" si="9">SUM(N28:N29)</f><v>0</v></c><c r="O27" s="236"><f t="shared" si="9"/><v>0</v></c><c r="P27" s="236"><f t="shared" si="9"/><v>0</v></c><c r="Q27" s="236"><f t="shared" si="9"/><v>0</v></c><c r="R27" s="236"><f t="shared" si="9"/><v>0</v></c><c r="S27" s="236"><f t="shared" si="9"/><v>0</v></c><c r="T27" s="64"><f t="shared" si="6"/><v>0</v></c><c r="U27" s="64"><f t="shared" si="7"/><v>7879</v></c></row><row r="28" spans="1:21" s="21" customFormat="1" ht="15.75" x14ac:dyDescent="0.25"><c r="A28" s="22"/><c r="B28" s="183" t="str"><f>Translation!A71</f><v>Agricultura, produção animal, caça, floresta e pesca</v></c><c r="C28" s="154"><v>142</v></c><c r="D28" s="154"/><c r="E28" s="154"/><c r="F28" s="64"><f t="shared" si="0"/><v>142</v></c><c r="G28" s="154"/><c r="H28" s="154"><v>7737</v></c><c r="I28" s="154"/><c r="J28" s="154"/><c r="K28" s="154"/><c r="L28" s="154"/><c r="M28" s="64"><f t="shared" si="2"/><v>7737</v></c><c r="N28" s="154"/><c r="O28" s="154"/><c r="P28" s="154"/><c r="Q28" s="154"/><c r="R28" s="154"/><c r="S28" s="154"/><c r="T28" s="64"><f t="shared" si="6"/><v>0</v></c><c r="U28" s="64"><f t="shared" si="7"/><v>7879</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2394.79</v></c><c r="D30" s="236"><f>SUM(D31:D33)</f><v>0</v></c><c r="E30" s="236"><f>SUM(E31:E33)</f><v>0</v></c><c r="F30" s="64"><f t="shared" si="0"/><v>2394.79</v></c><c r="G30" s="236"><f t="shared" ref="G30:L30" si="10">SUM(G31:G33)</f><v>0</v></c><c r="H30" s="236"><f t="shared" si="10"/><v>0</v></c><c r="I30" s="236"><f t="shared" si="10"/><v>0</v></c><c r="J30" s="236"><f t="shared" si="10"/><v>0</v></c><c r="K30" s="236"><f t="shared" si="10"/><v>0</v></c><c r="L30" s="236"><f t="shared" si="10"/><v>0</v></c><c r="M30" s="64"><f t="shared" si="2"/><v>0</v></c><c r="N30" s="236"><f t="shared" ref="N30:S30" si="11">SUM(N31:N33)</f><v>0</v></c><c r="O30" s="236"><f t="shared" si="11"/><v>0</v></c><c r="P30" s="236"><f t="shared" si="11"/><v>0</v></c><c r="Q30" s="236"><f t="shared" si="11"/><v>0</v></c><c r="R30" s="236"><f t="shared" si="11"/><v>0</v></c><c r="S30" s="236"><f t="shared" si="11"/><v>0</v></c><c r="T30" s="64"><f t="shared" si="6"/><v>0</v></c><c r="U30" s="64"><f t="shared" si="7"/><v>2394.79</v></c></row><row r="31" spans="1:21" s="21" customFormat="1" ht="15.75" x14ac:dyDescent="0.25"><c r="A31" s="22"/><c r="B31" s="183" t="str"><f>Translation!A74</f><v>Indústrias transformadoras</v></c><c r="C31" s="154"><v>1997.86</v></c><c r="D31" s="154"/><c r="E31" s="154"/><c r="F31" s="64"><f t="shared" si="0"/><v>1997.86</v></c><c r="G31" s="154"/><c r="H31" s="154"/><c r="I31" s="154"/><c r="J31" s="154"/><c r="K31" s="154"/><c r="L31" s="154"/><c r="M31" s="64"><f t="shared" si="2"/><v>0</v></c><c r="N31" s="154"/><c r="O31" s="154"/><c r="P31" s="154"/><c r="Q31" s="154"/><c r="R31" s="154"/><c r="S31" s="154"/><c r="T31" s="64"><f t="shared" si="6"/><v>0</v></c><c r="U31" s="64"><f t="shared" si="7"/><v>1997.86</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v>396.93</v></c><c r="D33" s="154"/><c r="E33" s="154"/><c r="F33" s="64"><f t="shared" si="0"/><v>396.93</v></c><c r="G33" s="154"/><c r="H33" s="154"/><c r="I33" s="154"/><c r="J33" s="154"/><c r="K33" s="154"/><c r="L33" s="154"/><c r="M33" s="64"><f t="shared" si="2"/><v>0</v></c><c r="N33" s="154"/><c r="O33" s="154"/><c r="P33" s="154"/><c r="Q33" s="154"/><c r="R33" s="154"/><c r="S33" s="154"/><c r="T33" s="64"><f t="shared" si="6"/><v>0</v></c><c r="U33" s="64"><f t="shared" si="7"/><v>396.93</v></c></row><row r="34" spans="1:21" s="21" customFormat="1" ht="15.75" x14ac:dyDescent="0.25"><c r="A34" s="22"/><c r="B34" s="61" t="str"><f>Translation!A77</f><v>SECTOR TERCIÁRIO</v></c><c r="C34" s="236"><f>SUM(C35:C42)</f><v>5656.43</v></c><c r="D34" s="236"><f>SUM(D35:D42)</f><v>0</v></c><c r="E34" s="236"><f>SUM(E35:E42)</f><v>0</v></c><c r="F34" s="64"><f t="shared" si="0"/><v>5656.43</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5656.43</v></c></row><row r="35" spans="1:21" s="21" customFormat="1" ht="30" x14ac:dyDescent="0.25"><c r="A35" s="22"/><c r="B35" s="183" t="str"><f>Translation!A78</f><v>Comércio por grosso e a retalho; reparação de veículos automóveis e motociclos</v></c><c r="C35" s="154"><v>977.76</v></c><c r="D35" s="154"/><c r="E35" s="154"/><c r="F35" s="64"><f t="shared" si="0"/><v>977.76</v></c><c r="G35" s="154"/><c r="H35" s="154"/><c r="I35" s="154"/><c r="J35" s="154"/><c r="K35" s="154"/><c r="L35" s="154"/><c r="M35" s="64"><f t="shared" si="2"/><v>0</v></c><c r="N35" s="154"/><c r="O35" s="154"/><c r="P35" s="154"/><c r="Q35" s="154"/><c r="R35" s="154"/><c r="S35" s="154"/><c r="T35" s="64"><f t="shared" si="6"/><v>0</v></c><c r="U35" s="64"><f t="shared" si="7"/><v>977.76</v></c></row><row r="36" spans="1:21" s="21" customFormat="1" ht="15.75" x14ac:dyDescent="0.25"><c r="A36" s="22"/><c r="B36" s="183" t="str"><f>Translation!A79</f><v>Alojamento, restauração e similares</v></c><c r="C36" s="154"><v>474.35</v></c><c r="D36" s="154"/><c r="E36" s="154"/><c r="F36" s="64"><f t="shared" si="0"/><v>474.35</v></c><c r="G36" s="154"/><c r="H36" s="154"/><c r="I36" s="154"/><c r="J36" s="154"/><c r="K36" s="154"/><c r="L36" s="154"/><c r="M36" s="64"><f t="shared" si="2"/><v>0</v></c><c r="N36" s="154"/><c r="O36" s="154"/><c r="P36" s="154"/><c r="Q36" s="154"/><c r="R36" s="154"/><c r="S36" s="154"/><c r="T36" s="64"><f t="shared" si="6"/><v>0</v></c><c r="U36" s="64"><f t="shared" si="7"/><v>474.35</v></c></row><row r="37" spans="1:21" s="21" customFormat="1" ht="15.75" x14ac:dyDescent="0.25"><c r="A37" s="22"/><c r="B37" s="183" t="str"><f>Translation!A80</f><v>Administração pública e segurança social</v></c><c r="C37" s="154"><v>1534.75</v></c><c r="D37" s="154"/><c r="E37" s="154"/><c r="F37" s="64"><f t="shared" si="0"/><v>1534.75</v></c><c r="G37" s="154"/><c r="H37" s="154"/><c r="I37" s="154"/><c r="J37" s="154"/><c r="K37" s="154"/><c r="L37" s="154"/><c r="M37" s="64"><f t="shared" si="2"/><v>0</v></c><c r="N37" s="154"/><c r="O37" s="154"/><c r="P37" s="154"/><c r="Q37" s="154"/><c r="R37" s="154"/><c r="S37" s="154"/><c r="T37" s="64"><f t="shared" si="6"/><v>0</v></c><c r="U37" s="64"><f t="shared" si="7"/><v>1534.75</v></c></row><row r="38" spans="1:21" s="21" customFormat="1" ht="15.75" x14ac:dyDescent="0.25"><c r="A38" s="22"/><c r="B38" s="183" t="str"><f>Translation!A81</f><v>Defesa, justiça, polícia e bombeiros</v></c><c r="C38" s="154"><v>157.03</v></c><c r="D38" s="154"/><c r="E38" s="154"/><c r="F38" s="64"><f t="shared" si="0"/><v>157.03</v></c><c r="G38" s="154"/><c r="H38" s="154"/><c r="I38" s="154"/><c r="J38" s="154"/><c r="K38" s="154"/><c r="L38" s="154"/><c r="M38" s="64"><f t="shared" si="2"/><v>0</v></c><c r="N38" s="154"/><c r="O38" s="154"/><c r="P38" s="154"/><c r="Q38" s="154"/><c r="R38" s="154"/><c r="S38" s="154"/><c r="T38" s="64"><f t="shared" si="6"/><v>0</v></c><c r="U38" s="64"><f t="shared" si="7"/><v>157.03</v></c></row><row r="39" spans="1:21" s="21" customFormat="1" ht="15.75" x14ac:dyDescent="0.25"><c r="A39" s="22"/><c r="B39" s="183" t="str"><f>Translation!A82</f><v>Educação</v></c><c r="C39" s="154"><v>156.28</v></c><c r="D39" s="154"/><c r="E39" s="154"/><c r="F39" s="64"><f t="shared" si="0"/><v>156.28</v></c><c r="G39" s="154"/><c r="H39" s="154"/><c r="I39" s="154"/><c r="J39" s="154"/><c r="K39" s="154"/><c r="L39" s="154"/><c r="M39" s="64"><f t="shared" si="2"/><v>0</v></c><c r="N39" s="154"/><c r="O39" s="154"/><c r="P39" s="154"/><c r="Q39" s="154"/><c r="R39" s="154"/><c r="S39" s="154"/><c r="T39" s="64"><f t="shared" si="6"/><v>0</v></c><c r="U39" s="64"><f t="shared" si="7"/><v>156.28</v></c></row><row r="40" spans="1:21" s="21" customFormat="1" ht="15.75" x14ac:dyDescent="0.25"><c r="A40" s="22"/><c r="B40" s="183" t="str"><f>Translation!A83</f><v>Actividades de saúde humana e apoio social</v></c><c r="C40" s="154"><v>354.44</v></c><c r="D40" s="154"/><c r="E40" s="154"/><c r="F40" s="64"><f t="shared" si="0"/><v>354.44</v></c><c r="G40" s="154"/><c r="H40" s="154"/><c r="I40" s="154"/><c r="J40" s="154"/><c r="K40" s="154"/><c r="L40" s="154"/><c r="M40" s="64"><f t="shared" si="2"/><v>0</v></c><c r="N40" s="154"/><c r="O40" s="154"/><c r="P40" s="154"/><c r="Q40" s="154"/><c r="R40" s="154"/><c r="S40" s="154"/><c r="T40" s="64"><f t="shared" si="6"/><v>0</v></c><c r="U40" s="64"><f t="shared" si="7"/><v>354.44</v></c></row><row r="41" spans="1:21" s="21" customFormat="1" ht="15.75" x14ac:dyDescent="0.25"><c r="A41" s="22"/><c r="B41" s="183" t="str"><f>Translation!A84</f><v>Outros serviços</v></c><c r="C41" s="154"><v>821.53</v></c><c r="D41" s="154"/><c r="E41" s="154"/><c r="F41" s="64"><f t="shared" si="0"/><v>821.53</v></c><c r="G41" s="154"/><c r="H41" s="154"/><c r="I41" s="154"/><c r="J41" s="154"/><c r="K41" s="154"/><c r="L41" s="154"/><c r="M41" s="64"><f t="shared" si="2"/><v>0</v></c><c r="N41" s="154"/><c r="O41" s="154"/><c r="P41" s="154"/><c r="Q41" s="154"/><c r="R41" s="154"/><c r="S41" s="154"/><c r="T41" s="64"><f t="shared" si="6"/><v>0</v></c><c r="U41" s="64"><f t="shared" si="7"/><v>821.53</v></c></row><row r="42" spans="1:21" s="21" customFormat="1" ht="15.75" x14ac:dyDescent="0.25"><c r="A42" s="22"/><c r="B42" s="183" t="str"><f>Translation!A85</f><v>Iluminação pública</v></c><c r="C42" s="154"><v>1180.29</v></c><c r="D42" s="154"/><c r="E42" s="154"/><c r="F42" s="64"><f t="shared" si="0"/><v>1180.29</v></c><c r="G42" s="154"/><c r="H42" s="154"/><c r="I42" s="154"/><c r="J42" s="154"/><c r="K42" s="154"/><c r="L42" s="154"/><c r="M42" s="64"><f t="shared" si="2"/><v>0</v></c><c r="N42" s="154"/><c r="O42" s="154"/><c r="P42" s="154"/><c r="Q42" s="154"/><c r="R42" s="154"/><c r="S42" s="154"/><c r="T42" s="64"><f t="shared" si="6"/><v>0</v></c><c r="U42" s="64"><f t="shared" si="7"/><v>1180.29</v></c></row><row r="43" spans="1:21" s="21" customFormat="1" ht="15.75" x14ac:dyDescent="0.25"><c r="A43" s="22"/><c r="B43" s="61" t="str"><f>Translation!A86</f><v>TRANSPORTES</v></c><c r="C43" s="236"><f>SUM(C44:C47)</f><v>22.36</v></c><c r="D43" s="236"><f>SUM(D44:D47)</f><v>0</v></c><c r="E43" s="236"><f>SUM(E44:E47)</f><v>0</v></c><c r="F43" s="64"><f t="shared" si="0"/><v>22.36</v></c><c r="G43" s="236"><f t="shared" ref="G43:L43" si="14">SUM(G44:G47)</f><v>0</v></c><c r="H43" s="236"><f t="shared" si="14"/><v>14969</v></c><c r="I43" s="236"><f t="shared" si="14"/><v>6396</v></c><c r="J43" s="236"><f t="shared" si="14"/><v>0</v></c><c r="K43" s="236"><f t="shared" si="14"/><v>0</v></c><c r="L43" s="236"><f t="shared" si="14"/><v>0</v></c><c r="M43" s="64"><f t="shared" si="2"/><v>21365</v></c><c r="N43" s="236"><f t="shared" ref="N43:S43" si="15">SUM(N44:N47)</f><v>0</v></c><c r="O43" s="236"><f t="shared" si="15"/><v>0</v></c><c r="P43" s="236"><f t="shared" si="15"/><v>0</v></c><c r="Q43" s="236"><f t="shared" si="15"/><v>0</v></c><c r="R43" s="236"><f t="shared" si="15"/><v>0</v></c><c r="S43" s="236"><f t="shared" si="15"/><v>0</v></c><c r="T43" s="64"><f t="shared" si="6"/><v>0</v></c><c r="U43" s="64"><f t="shared" si="7"/><v>21387.360000000001</v></c></row><row r="44" spans="1:21" s="21" customFormat="1" ht="30" x14ac:dyDescent="0.25"><c r="A44" s="22"/><c r="B44" s="183" t="str"><f>Translation!A87</f><v>Transporte de passageiros por estrada (transportes públicos, táxis, turismo, transporte escolar, etc.)</v></c><c r="C44" s="154"/><c r="D44" s="154"/><c r="E44" s="154"/><c r="F44" s="64"><f t="shared" si="0"/><v>0</v></c><c r="G44" s="154"/><c r="H44" s="154"><v>14969</v></c><c r="I44" s="154"><v>6396</v></c><c r="J44" s="154"/><c r="K44" s="154"/><c r="L44" s="154"/><c r="M44" s="64"><f t="shared" si="2"/><v>21365</v></c><c r="N44" s="154"/><c r="O44" s="154"/><c r="P44" s="154"/><c r="Q44" s="154"/><c r="R44" s="154"/><c r="S44" s="154"/><c r="T44" s="64"><f t="shared" si="6"/><v>0</v></c><c r="U44" s="64"><f t="shared" si="7"/><v>21365</v></c></row><row r="45" spans="1:21" s="21" customFormat="1" ht="30" x14ac:dyDescent="0.25"><c r="A45" s="22"/><c r="B45" s="183" t="str"><f>Translation!A88</f><v>Transporte de mercadorias por estrada e serviços de mudanças</v></c><c r="C45" s="154"><v>3.16</v></c><c r="D45" s="154"/><c r="E45" s="154"/><c r="F45" s="64"><f t="shared" si="0"/><v>3.16</v></c><c r="G45" s="154"/><c r="H45" s="154"/><c r="I45" s="154"/><c r="J45" s="154"/><c r="K45" s="154"/><c r="L45" s="154"/><c r="M45" s="64"><f t="shared" si="2"/><v>0</v></c><c r="N45" s="154"/><c r="O45" s="154"/><c r="P45" s="154"/><c r="Q45" s="154"/><c r="R45" s="154"/><c r="S45" s="154"/><c r="T45" s="64"><f t="shared" si="6"/><v>0</v></c><c r="U45" s="64"><f t="shared" si="7"/><v>3.16</v></c></row><row r="46" spans="1:21" s="21" customFormat="1" ht="15.75" x14ac:dyDescent="0.25"><c r="A46" s="22"/><c r="B46" s="183" t="str"><f>Translation!A89</f><v>Outras frotas de serviços públicos e privados</v></c><c r="C46" s="154"><v>7.09</v></c><c r="D46" s="154"/><c r="E46" s="154"/><c r="F46" s="64"><f t="shared" si="0"/><v>7.09</v></c><c r="G46" s="154"/><c r="H46" s="154"/><c r="I46" s="154"/><c r="J46" s="154"/><c r="K46" s="154"/><c r="L46" s="154"/><c r="M46" s="64"><f t="shared" si="2"/><v>0</v></c><c r="N46" s="154"/><c r="O46" s="154"/><c r="P46" s="154"/><c r="Q46" s="154"/><c r="R46" s="154"/><c r="S46" s="154"/><c r="T46" s="64"><f t="shared" si="6"/><v>0</v></c><c r="U46" s="64"><f t="shared" si="7"/><v>7.09</v></c></row><row r="47" spans="1:21" s="21" customFormat="1" ht="15.75" x14ac:dyDescent="0.25"><c r="A47" s="22"/><c r="B47" s="182" t="str"><f>Translation!A90</f><v>Transporte particular</v></c><c r="C47" s="154"><v>12.11</v></c><c r="D47" s="154"/><c r="E47" s="154"/><c r="F47" s="64"><f t="shared" si="0"/><v>12.11</v></c><c r="G47" s="154"/><c r="H47" s="154"/><c r="I47" s="154"/><c r="J47" s="154"/><c r="K47" s="154"/><c r="L47" s="154"/><c r="M47" s="64"><f t="shared" si="2"/><v>0</v></c><c r="N47" s="154"/><c r="O47" s="154"/><c r="P47" s="154"/><c r="Q47" s="154"/><c r="R47" s="154"/><c r="S47" s="154"/><c r="T47" s="64"><f t="shared" si="6"/><v>0</v></c><c r="U47" s="64"><f t="shared" si="7"/><v>12.11</v></c></row><row r="48" spans="1:21" s="21" customFormat="1" ht="15.75" x14ac:dyDescent="0.25"><c r="A48" s="22"/><c r="B48" s="73" t="str"><f>Translation!A118</f><v>TOTAL PARA MERCADO INTERNO</v></c><c r="C48" s="149"><f>C17+C27+C30+C34+C43</f><v>12566.260000000002</v></c><c r="D48" s="149"><f>D17+D27+D30+D34+D43</f><v>0</v></c><c r="E48" s="149"><f>E17+E27+E30+E34+E43</f><v>0</v></c><c r="F48" s="64"><f t="shared" si="0"/><v>12566.260000000002</v></c><c r="G48" s="65"><f t="shared" ref="G48:L48" si="16">G17+G27+G30+G34+G43</f><v>0</v></c><c r="H48" s="65"><f t="shared" si="16"/><v>22706</v></c><c r="I48" s="65"><f t="shared" si="16"/><v>6396</v></c><c r="J48" s="65"><f t="shared" si="16"/><v>5129</v></c><c r="K48" s="65"><f t="shared" si="16"/><v>0</v></c><c r="L48" s="65"><f t="shared" si="16"/><v>0</v></c><c r="M48" s="64"><f t="shared" si="2"/><v>34231</v></c><c r="N48" s="65"><f t="shared" ref="N48:S48" si="17">N17+N27+N30+N34+N43</f><v>0</v></c><c r="O48" s="65"><f t="shared" si="17"/><v>0</v></c><c r="P48" s="65"><f t="shared" si="17"/><v>0</v></c><c r="Q48" s="65"><f t="shared" si="17"/><v>0</v></c><c r="R48" s="65"><f t="shared" si="17"/><v>0</v></c><c r="S48" s="65"><f t="shared" si="17"/><v>0</v></c><c r="T48" s="64"><f t="shared" si="6"/><v>0</v></c><c r="U48" s="64"><f t="shared" si="7"/><v>46797.26</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12566.260000000002</v></c><c r="D52" s="53"><f t="shared" ref="D52:U52" si="18">SUM(D48:D51)</f><v>0</v></c><c r="E52" s="53"><f t="shared" si="18"/><v>0</v></c><c r="F52" s="53"><f t="shared" si="18"/><v>12566.260000000002</v></c><c r="G52" s="53"><f t="shared" si="18"/><v>0</v></c><c r="H52" s="53"><f t="shared" si="18"/><v>22706</v></c><c r="I52" s="53"><f t="shared" si="18"/><v>6396</v></c><c r="J52" s="53"><f t="shared" si="18"/><v>5129</v></c><c r="K52" s="53"><f t="shared" si="18"/><v>0</v></c><c r="L52" s="53"><f t="shared" si="18"/><v>0</v></c><c r="M52" s="53"><f t="shared" si="18"/><v>34231</v></c><c r="N52" s="53"><f t="shared" si="18"/><v>0</v></c><c r="O52" s="53"><f t="shared" si="18"/><v>0</v></c><c r="P52" s="53"><f t="shared" si="18"/><v>0</v></c><c r="Q52" s="53"><f t="shared" si="18"/><v>0</v></c><c r="R52" s="53"><f t="shared" si="18"/><v>0</v></c><c r="S52" s="53"><f t="shared" si="18"/><v>0</v></c><c r="T52" s="53"><f t="shared" si="18"/><v>0</v></c><c r="U52" s="53"><f t="shared" si="18"/><v>46797.26</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9"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9" t="str"><f>Translation!A117</f><v>Subtotal</v></c><c r="T57" s="306" t="str"><f>Translation!A140</f><v>Conversão de electricidade para frio</v></c><c r="U57" s="306" t="str"><f>Translation!A141</f><v>Conversão de calor para frio</v></c><c r="V57" s="259" t="str"><f>Translation!A117</f><v>Subtotal</v></c><c r="W57" s="310" t="str"><f>Translation!A131</f><v>Armazenamento</v></c><c r="X57" s="311"/><c r="Y57" s="309" t="str"><f>Translation!A134</f><v>Ligação externa</v></c><c r="Z57" s="309"/><c r="AA57" s="275" t="str"><f>Translation!A137</f><v>Reexportação e consumos externos</v></c><c r="AB57" s="259" t="str"><f>Translation!A117</f><v>Subtotal</v></c><c r="AC57" s="308"/><c r="AD57" s="259"/></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9"/><c r="T58" s="307"/><c r="U58" s="307"/><c r="V58" s="259"/><c r="W58" s="110" t="str"><f>Translation!A132</f><v>Entrada para armazenamento</v></c><c r="X58" s="110" t="str"><f>Translation!A133</f><v>Saída do armazenamento</v></c><c r="Y58" s="110" t="str"><f>Translation!A135</f><v>Importação para a ilha</v></c><c r="Z58" s="110" t="str"><f>Translation!A136</f><v>Exportação da ilha</v></c><c r="AA58" s="276"/><c r="AB58" s="259"/><c r="AC58" s="308"/><c r="AD58" s="259"/></row><row r="59" spans="2:32" s="51" customFormat="1" ht="15.75" x14ac:dyDescent="0.25"><c r="B59" s="184" t="str"><f>Translation!A124</f><v>Electricidade</v></c><c r="C59" s="237"/><c r="D59" s="237"><v>12436</v></c><c r="E59" s="237"/><c r="F59" s="237"/><c r="G59" s="237"/><c r="H59" s="237"/><c r="I59" s="59"><f>SUM(C59:H59)</f><v>12436</v></c><c r="J59" s="237"/><c r="K59" s="237"><v>1422</v></c><c r="L59" s="237"/><c r="M59" s="237"/><c r="N59" s="237"/><c r="O59" s="237"/><c r="P59" s="237"/><c r="Q59" s="237"/><c r="R59" s="59"><f>SUM(J59:Q59)</f><v>1422</v></c><c r="S59" s="59"><f>I59+R59</f><v>13858</v></c><c r="T59" s="237"/><c r="U59" s="237"/><c r="V59" s="59"><f>-T59</f><v>0</v></c><c r="W59" s="237"/><c r="X59" s="237"/><c r="Y59" s="237"/><c r="Z59" s="237"/><c r="AA59" s="186"><f>$C$49+$C$50+$C$51</f><v>0</v></c><c r="AB59" s="59"><f>-SUM(W59)+SUM(X59:Y59)-SUM(Z59:AA59)</f><v>0</v></c><c r="AC59" s="64"><f>S59+V59+AB59</f><v>13858</v></c><c r="AD59" s="187"><f>AC59-C48</f><v>1291.739999999998</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0</v></c><c r="D62" s="53"><f t="shared" si="19"/><v>12436</v></c><c r="E62" s="53"><f t="shared" si="19"/><v>0</v></c><c r="F62" s="53"><f t="shared" si="19"/><v>0</v></c><c r="G62" s="53"><f t="shared" si="19"/><v>0</v></c><c r="H62" s="53"><f t="shared" si="19"/><v>0</v></c><c r="I62" s="53"><f t="shared" si="19"/><v>12436</v></c><c r="J62" s="53"><f t="shared" si="19"/><v>0</v></c><c r="K62" s="53"><f t="shared" si="19"/><v>1422</v></c><c r="L62" s="53"><f t="shared" si="19"/><v>0</v></c><c r="M62" s="53"><f t="shared" si="19"/><v>0</v></c><c r="N62" s="53"><f t="shared" si="19"/><v>0</v></c><c r="O62" s="53"><f t="shared" si="19"/><v>0</v></c><c r="P62" s="53"><f t="shared" si="19"/><v>0</v></c><c r="Q62" s="53"><f t="shared" si="19"/><v>0</v></c><c r="R62" s="53"><f t="shared" si="19"/><v>1422</v></c><c r="S62" s="53"><f t="shared" si="19"/><v>13858</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13858</v></c><c r="AD62" s="53"><f t="shared" si="19"/><v>1291.739999999998</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c r="D69" s="237"><v>31827</v></c><c r="E69" s="237"/><c r="F69" s="237"/><c r="G69" s="237"/><c r="H69" s="237"/><c r="I69" s="59"><f>SUM(C69:H69)</f><v>31827</v></c><c r="J69" s="185"><f>J59</f><v>0</v></c><c r="K69" s="185"><f t="shared" ref="K69:P69" si="20">K59</f><v>1422</v></c><c r="L69" s="185"><f t="shared" si="20"/><v>0</v></c><c r="M69" s="185"><f t="shared" si="20"/><v>0</v></c><c r="N69" s="185"><f t="shared" si="20"/><v>0</v></c><c r="O69" s="237"/><c r="P69" s="185"><f t="shared" si="20"/><v>0</v></c><c r="Q69" s="185"/><c r="R69" s="59"><f>SUM(J69:Q69)</f><v>1422</v></c><c r="S69" s="59"><f>I69+R69</f><v>33249</v></c><c r="T69" s="71"><f>S69-AC59+AB59</f><v>19391</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0</v></c><c r="D72" s="53"><f t="shared" si="22"/><v>31827</v></c><c r="E72" s="53"><f t="shared" si="22"/><v>0</v></c><c r="F72" s="53"><f t="shared" si="22"/><v>0</v></c><c r="G72" s="53"><f t="shared" si="22"/><v>0</v></c><c r="H72" s="53"><f t="shared" si="22"/><v>0</v></c><c r="I72" s="53"><f t="shared" si="22"/><v>31827</v></c><c r="J72" s="53"><f t="shared" si="22"/><v>0</v></c><c r="K72" s="53"><f t="shared" si="22"/><v>1422</v></c><c r="L72" s="53"><f t="shared" si="22"/><v>0</v></c><c r="M72" s="53"><f t="shared" si="22"/><v>0</v></c><c r="N72" s="53"><f t="shared" si="22"/><v>0</v></c><c r="O72" s="53"><f t="shared" si="22"/><v>0</v></c><c r="P72" s="53"><f t="shared" si="22"/><v>0</v></c><c r="Q72" s="53"><f t="shared" si="22"/><v>0</v></c><c r="R72" s="53"><f t="shared" si="22"/><v>1422</v></c><c r="S72" s="53"><f t="shared" si="22"/><v>33249</v></c><c r="T72" s="71"><f>S72-AC62+AB62</f><v>19391</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3">G48+C72</f><v>0</v></c><c r="D79" s="186"><f t="shared" si="23"/><v>54533</v></c><c r="E79" s="186"><f t="shared" si="23"/><v>6396</v></c><c r="F79" s="186"><f t="shared" si="23"/><v>5129</v></c><c r="G79" s="186"><f t="shared" si="23"/><v>0</v></c><c r="H79" s="186"><f t="shared" si="23"/><v>0</v></c><c r="I79" s="53"><f>SUM(C79:H79)</f><v>66058</v></c><c r="J79" s="186"><f t="shared" ref="J79:O79" si="24">N48+J72</f><v>0</v></c><c r="K79" s="186"><f t="shared" si="24"/><v>1422</v></c><c r="L79" s="186"><f t="shared" si="24"/><v>0</v></c><c r="M79" s="186"><f t="shared" si="24"/><v>0</v></c><c r="N79" s="186"><f t="shared" si="24"/><v>0</v></c><c r="O79" s="186"><f t="shared" si="24"/><v>0</v></c><c r="P79" s="186"><f>P72</f><v>0</v></c><c r="Q79" s="186"><f>Q72</f><v>0</v></c><c r="R79" s="53"><f>SUM(J79:Q79)</f><v>1422</v></c><c r="S79" s="186"><f>Y62</f><v>0</v></c><c r="T79" s="186"><f>Z62</f><v>0</v></c><c r="U79" s="186"><f>$C$49+$C$50+$C$51</f><v>0</v></c><c r="V79" s="53"><f>S79-T79-U79</f><v>0</v></c><c r="W79" s="186"><f>$D$49+$D$50+$D$51</f><v>0</v></c><c r="X79" s="186"><f>$E$49+$E$50+$E$51</f><v>0</v></c><c r="Y79" s="53"><f>I79+R79+V79-W79-X79</f><v>67480</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 t="str"><f t="shared" ref="C86:P86" si="25">IF(C69&gt;0,C59/C69,"-")</f><v>-</v></c><c r="D86" s="188"><f t="shared" si="25"/><v>0.39073742419957896</v></c><c r="E86" s="188" t="str"><f t="shared" si="25"/><v>-</v></c><c r="F86" s="188" t="str"><f t="shared" si="25"/><v>-</v></c><c r="G86" s="188" t="str"><f t="shared" si="25"/><v>-</v></c><c r="H86" s="188" t="str"><f t="shared" si="25"/><v>-</v></c><c r="I86" s="67"><f t="shared" si="25"/><v>0.39073742419957896</v></c><c r="J86" s="188" t="str"><f t="shared" si="25"/><v>-</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0.41679449005985142</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2942.1043063027505</v></c><c r="D95" s="64"><f>SUM(D96:D104)</f><v>0</v></c><c r="E95" s="64"><f>SUM(E96:E104)</f><v>0</v></c><c r="F95" s="64"><f t="shared" ref="F95:F126" si="29">SUM(C95:E95)</f><v>2942.1043063027505</v></c><c r="G95" s="64"><f t="shared" ref="G95:L95" si="30">SUM(G96:G104)</f><v>0</v></c><c r="H95" s="64"><f t="shared" si="30"/><v>0</v></c><c r="I95" s="64"><f t="shared" si="30"/><v>0</v></c><c r="J95" s="64"><f t="shared" si="30"/><v>1230.96</v></c><c r="K95" s="64"><f t="shared" si="30"/><v>0</v></c><c r="L95" s="64"><f t="shared" si="30"/><v>0</v></c><c r="M95" s="64"><f t="shared" ref="M95:M126" si="31">SUM(G95:L95)</f><v>1230.96</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4173.064306302751</v></c></row><row r="96" spans="1:32" s="21" customFormat="1" ht="15.75" x14ac:dyDescent="0.25"><c r="A96" s="22"/><c r="B96" s="182" t="str"><f>Translation!A61</f><v>Água quente</v></c><c r="C96" s="185"><f t="shared" ref="C96:C104" si="35">IF(AND(C$48&gt;0,($S$133+$V$143)&gt;0), ($S$133+$V$143)/C$48,0)*C18</f><v>2942.1043063027505</v></c><c r="D96" s="185"><f t="shared" ref="D96:D104" si="36">IF(AND(D$48&gt;0,$S$134&gt;0), ($S$134)/D$48,0)*D18</f><v>0</v></c><c r="E96" s="185"><f t="shared" ref="E96:E104" si="37">IF(AND(E$48&gt;0,$S$135&gt;0), ($S$135)/E$48,0)*E18</f><v>0</v></c><c r="F96" s="64"><f t="shared" si="29"/><v>2942.1043063027505</v></c><c r="G96" s="185"><f>'CO2 factors'!C$7*G18</f><v>0</v></c><c r="H96" s="185"><f>'CO2 factors'!D$7*H18</f><v>0</v></c><c r="I96" s="185"><f>'CO2 factors'!E$7*I18</f><v>0</v></c><c r="J96" s="185"><f>'CO2 factors'!F$7*J18</f><v>1230.96</v></c><c r="K96" s="185"><f>'CO2 factors'!G$7*K18</f><v>0</v></c><c r="L96" s="185"><f>'CO2 factors'!H$7*L18</f><v>0</v></c><c r="M96" s="64"><f t="shared" si="31"/><v>1230.96</v></c><c r="N96" s="185"><f>'CO2 factors'!J$7*N18</f><v>0</v></c><c r="O96" s="185"><f>'CO2 factors'!K$7*O18</f><v>0</v></c><c r="P96" s="185"><f>'CO2 factors'!L$7*P18</f><v>0</v></c><c r="Q96" s="185"><f>'CO2 factors'!M$7*Q18</f><v>0</v></c><c r="R96" s="185"><f>'CO2 factors'!N$7*R18</f><v>0</v></c><c r="S96" s="185"><f>'CO2 factors'!O$7*S18</f><v>0</v></c><c r="T96" s="64"><f t="shared" si="33"/><v>0</v></c><c r="U96" s="64"><f t="shared" si="34"/><v>4173.064306302751</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96.026095115014328</v></c><c r="D105" s="64"><f>SUM(D106:D107)</f><v>0</v></c><c r="E105" s="64"><f>SUM(E106:E107)</f><v>0</v></c><c r="F105" s="64"><f t="shared" si="29"/><v>96.026095115014328</v></c><c r="G105" s="64"><f t="shared" ref="G105:L105" si="38">SUM(G106:G107)</f><v>0</v></c><c r="H105" s="64"><f t="shared" si="38"/><v>2065.779</v></c><c r="I105" s="64"><f t="shared" si="38"/><v>0</v></c><c r="J105" s="64"><f t="shared" si="38"/><v>0</v></c><c r="K105" s="64"><f t="shared" si="38"/><v>0</v></c><c r="L105" s="64"><f t="shared" si="38"/><v>0</v></c><c r="M105" s="64"><f t="shared" si="31"/><v>2065.779</v></c><c r="N105" s="64"><f t="shared" ref="N105:S105" si="39">SUM(N106:N107)</f><v>0</v></c><c r="O105" s="64"><f t="shared" si="39"/><v>0</v></c><c r="P105" s="64"><f t="shared" si="39"/><v>0</v></c><c r="Q105" s="64"><f t="shared" si="39"/><v>0</v></c><c r="R105" s="64"><f t="shared" si="39"/><v>0</v></c><c r="S105" s="64"><f t="shared" si="39"/><v>0</v></c><c r="T105" s="64"><f t="shared" si="33"/><v>0</v></c><c r="U105" s="64"><f t="shared" si="34"/><v>2161.8050951150144</v></c></row><row r="106" spans="1:21" s="21" customFormat="1" ht="15.75" x14ac:dyDescent="0.25"><c r="A106" s="22"/><c r="B106" s="183" t="str"><f>Translation!A71</f><v>Agricultura, produção animal, caça, floresta e pesca</v></c><c r="C106" s="185"><f>IF(AND(C$48&gt;0,($S$133+$V$143)&gt;0), ($S$133+$V$143)/C$48,0)*C28</f><v>96.026095115014328</v></c><c r="D106" s="185"><f>IF(AND(D$48&gt;0,$S$134&gt;0), ($S$134)/D$48,0)*D28</f><v>0</v></c><c r="E106" s="185"><f>IF(AND(E$48&gt;0,$S$135&gt;0), ($S$135)/E$48,0)*E28</f><v>0</v></c><c r="F106" s="64"><f t="shared" si="29"/><v>96.026095115014328</v></c><c r="G106" s="185"><f>'CO2 factors'!C$7*G28</f><v>0</v></c><c r="H106" s="185"><f>'CO2 factors'!D$7*H28</f><v>2065.779</v></c><c r="I106" s="185"><f>'CO2 factors'!E$7*I28</f><v>0</v></c><c r="J106" s="185"><f>'CO2 factors'!F$7*J28</f><v>0</v></c><c r="K106" s="185"><f>'CO2 factors'!G$7*K28</f><v>0</v></c><c r="L106" s="185"><f>'CO2 factors'!H$7*L28</f><v>0</v></c><c r="M106" s="64"><f t="shared" si="31"/><v>2065.779</v></c><c r="N106" s="185"><f>'CO2 factors'!J$7*N28</f><v>0</v></c><c r="O106" s="185"><f>'CO2 factors'!K$7*O28</f><v>0</v></c><c r="P106" s="185"><f>'CO2 factors'!L$7*P28</f><v>0</v></c><c r="Q106" s="185"><f>'CO2 factors'!M$7*Q28</f><v>0</v></c><c r="R106" s="185"><f>'CO2 factors'!N$7*R28</f><v>0</v></c><c r="S106" s="185"><f>'CO2 factors'!O$7*S28</f><v>0</v></c><c r="T106" s="64"><f t="shared" si="33"/><v>0</v></c><c r="U106" s="64"><f t="shared" si="34"/><v>2161.8050951150144</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1619.4530445104588</v></c><c r="D108" s="64"><f>SUM(D109:D111)</f><v>0</v></c><c r="E108" s="64"><f>SUM(E109:E111)</f><v>0</v></c><c r="F108" s="64"><f t="shared" si="29"/><v>1619.4530445104588</v></c><c r="G108" s="64"><f t="shared" ref="G108:L108" si="40">SUM(G109:G111)</f><v>0</v></c><c r="H108" s="64"><f t="shared" si="40"/><v>0</v></c><c r="I108" s="64"><f t="shared" si="40"/><v>0</v></c><c r="J108" s="64"><f t="shared" si="40"/><v>0</v></c><c r="K108" s="64"><f t="shared" si="40"/><v>0</v></c><c r="L108" s="64"><f t="shared" si="40"/><v>0</v></c><c r="M108" s="64"><f t="shared" si="31"/><v>0</v></c><c r="N108" s="64"><f t="shared" ref="N108:S108" si="41">SUM(N109:N111)</f><v>0</v></c><c r="O108" s="64"><f t="shared" si="41"/><v>0</v></c><c r="P108" s="64"><f t="shared" si="41"/><v>0</v></c><c r="Q108" s="64"><f t="shared" si="41"/><v>0</v></c><c r="R108" s="64"><f t="shared" si="41"/><v>0</v></c><c r="S108" s="64"><f t="shared" si="41"/><v>0</v></c><c r="T108" s="64"><f t="shared" si="33"/><v>0</v></c><c r="U108" s="64"><f t="shared" si="34"/><v>1619.4530445104588</v></c></row><row r="109" spans="1:21" s="21" customFormat="1" ht="15.75" x14ac:dyDescent="0.25"><c r="A109" s="22"/><c r="B109" s="183" t="str"><f>Translation!A74</f><v>Indústrias transformadoras</v></c><c r="C109" s="185"><f>IF(AND(C$48&gt;0,($S$133+$V$143)&gt;0), ($S$133+$V$143)/C$48,0)*C31</f><v>1351.0330590597359</v></c><c r="D109" s="185"><f>IF(AND(D$48&gt;0,$S$134&gt;0), ($S$134)/D$48,0)*D31</f><v>0</v></c><c r="E109" s="185"><f>IF(AND(E$48&gt;0,$S$135&gt;0), ($S$135)/E$48,0)*E31</f><v>0</v></c><c r="F109" s="64"><f t="shared" si="29"/><v>1351.0330590597359</v></c><c r="G109" s="185"><f>'CO2 factors'!C$7*G31</f><v>0</v></c><c r="H109" s="185"><f>'CO2 factors'!D$7*H31</f><v>0</v></c><c r="I109" s="185"><f>'CO2 factors'!E$7*I31</f><v>0</v></c><c r="J109" s="185"><f>'CO2 factors'!F$7*J31</f><v>0</v></c><c r="K109" s="185"><f>'CO2 factors'!G$7*K31</f><v>0</v></c><c r="L109" s="185"><f>'CO2 factors'!H$7*L31</f><v>0</v></c><c r="M109" s="64"><f t="shared" si="31"/><v>0</v></c><c r="N109" s="185"><f>'CO2 factors'!J$7*N31</f><v>0</v></c><c r="O109" s="185"><f>'CO2 factors'!K$7*O31</f><v>0</v></c><c r="P109" s="185"><f>'CO2 factors'!L$7*P31</f><v>0</v></c><c r="Q109" s="185"><f>'CO2 factors'!M$7*Q31</f><v>0</v></c><c r="R109" s="185"><f>'CO2 factors'!N$7*R31</f><v>0</v></c><c r="S109" s="185"><f>'CO2 factors'!O$7*S31</f><v>0</v></c><c r="T109" s="64"><f t="shared" si="33"/><v>0</v></c><c r="U109" s="64"><f t="shared" si="34"/><v>1351.0330590597359</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268.41998545072278</v></c><c r="D111" s="185"><f>IF(AND(D$48&gt;0,$S$134&gt;0), ($S$134)/D$48,0)*D33</f><v>0</v></c><c r="E111" s="185"><f>IF(AND(E$48&gt;0,$S$135&gt;0), ($S$135)/E$48,0)*E33</f><v>0</v></c><c r="F111" s="64"><f t="shared" si="29"/><v>268.41998545072278</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268.41998545072278</v></c></row><row r="112" spans="1:21" s="21" customFormat="1" ht="15.75" x14ac:dyDescent="0.25"><c r="A112" s="22"/><c r="B112" s="61" t="str"><f>Translation!A77</f><v>SECTOR TERCIÁRIO</v></c><c r="C112" s="64"><f>SUM(C113:C120)</f><v>3825.1048252916935</v></c><c r="D112" s="64"><f>SUM(D113:D120)</f><v>0</v></c><c r="E112" s="64"><f>SUM(E113:E120)</f><v>0</v></c><c r="F112" s="64"><f t="shared" si="29"/><v>3825.1048252916935</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3825.1048252916935</v></c></row><row r="113" spans="1:23" s="21" customFormat="1" ht="30" x14ac:dyDescent="0.25"><c r="A113" s="22"/><c r="B113" s="183" t="str"><f>Translation!A78</f><v>Comércio por grosso e a retalho; reparação de veículos automóveis e motociclos</v></c><c r="C113" s="185"><f t="shared" ref="C113:C120" si="44">IF(AND(C$48&gt;0,($S$133+$V$143)&gt;0), ($S$133+$V$143)/C$48,0)*C35</f><v>661.20052647645355</v></c><c r="D113" s="185"><f t="shared" ref="D113:D120" si="45">IF(AND(D$48&gt;0,$S$134&gt;0), ($S$134)/D$48,0)*D35</f><v>0</v></c><c r="E113" s="185"><f t="shared" ref="E113:E120" si="46">IF(AND(E$48&gt;0,$S$135&gt;0), ($S$135)/E$48,0)*E35</f><v>0</v></c><c r="F113" s="64"><f t="shared" si="29"/><v>661.20052647645355</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661.20052647645355</v></c></row><row r="114" spans="1:23" s="21" customFormat="1" ht="15.75" x14ac:dyDescent="0.25"><c r="A114" s="22"/><c r="B114" s="183" t="str"><f>Translation!A79</f><v>Alojamento, restauração e similares</v></c><c r="C114" s="185"><f t="shared" si="44"/><v>320.77449449159894</v></c><c r="D114" s="185"><f t="shared" si="45"/><v>0</v></c><c r="E114" s="185"><f t="shared" si="46"/><v>0</v></c><c r="F114" s="64"><f t="shared" si="29"/><v>320.77449449159894</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320.77449449159894</v></c></row><row r="115" spans="1:23" s="21" customFormat="1" ht="15.75" x14ac:dyDescent="0.25"><c r="A115" s="22"/><c r="B115" s="183" t="str"><f>Translation!A80</f><v>Administração pública e segurança social</v></c><c r="C115" s="185"><f t="shared" si="44"/><v>1037.8595033645652</v></c><c r="D115" s="185"><f t="shared" si="45"/><v>0</v></c><c r="E115" s="185"><f t="shared" si="46"/><v>0</v></c><c r="F115" s="64"><f t="shared" si="29"/><v>1037.8595033645652</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1037.8595033645652</v></c></row><row r="116" spans="1:23" s="21" customFormat="1" ht="15.75" x14ac:dyDescent="0.25"><c r="A116" s="22"/><c r="B116" s="183" t="str"><f>Translation!A81</f><v>Defesa, justiça, polícia e bombeiros</v></c><c r="C116" s="185"><f t="shared" si="44"/><v>106.18998391486409</v></c><c r="D116" s="185"><f t="shared" si="45"/><v>0</v></c><c r="E116" s="185"><f t="shared" si="46"/><v>0</v></c><c r="F116" s="64"><f t="shared" si="29"/><v>106.18998391486409</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106.18998391486409</v></c></row><row r="117" spans="1:23" s="21" customFormat="1" ht="15.75" x14ac:dyDescent="0.25"><c r="A117" s="22"/><c r="B117" s="183" t="str"><f>Translation!A82</f><v>Educação</v></c><c r="C117" s="185"><f t="shared" si="44"/><v>105.68280383503127</v></c><c r="D117" s="185"><f t="shared" si="45"/><v>0</v></c><c r="E117" s="185"><f t="shared" si="46"/><v>0</v></c><c r="F117" s="64"><f t="shared" si="29"/><v>105.68280383503127</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105.68280383503127</v></c></row><row r="118" spans="1:23" s="21" customFormat="1" ht="15.75" x14ac:dyDescent="0.25"><c r="A118" s="22"/><c r="B118" s="183" t="str"><f>Translation!A83</f><v>Actividades de saúde humana e apoio social</v></c><c r="C118" s="185"><f t="shared" si="44"/><v>239.6865433279273</v></c><c r="D118" s="185"><f t="shared" si="45"/><v>0</v></c><c r="E118" s="185"><f t="shared" si="46"/><v>0</v></c><c r="F118" s="64"><f t="shared" si="29"/><v>239.6865433279273</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239.6865433279273</v></c></row><row r="119" spans="1:23" s="21" customFormat="1" ht="15.75" x14ac:dyDescent="0.25"><c r="A119" s="22"/><c r="B119" s="183" t="str"><f>Translation!A84</f><v>Outros serviços</v></c><c r="C119" s="185"><f t="shared" si="44"/><v>555.55153464674447</v></c><c r="D119" s="185"><f t="shared" si="45"/><v>0</v></c><c r="E119" s="185"><f t="shared" si="46"/><v>0</v></c><c r="F119" s="64"><f t="shared" si="29"/><v>555.55153464674447</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555.55153464674447</v></c></row><row r="120" spans="1:23" s="21" customFormat="1" ht="15.75" x14ac:dyDescent="0.25"><c r="A120" s="22"/><c r="B120" s="183" t="str"><f>Translation!A85</f><v>Iluminação pública</v></c><c r="C120" s="185"><f t="shared" si="44"/><v>798.15943523450881</v></c><c r="D120" s="185"><f t="shared" si="45"/><v>0</v></c><c r="E120" s="185"><f t="shared" si="46"/><v>0</v></c><c r="F120" s="64"><f t="shared" si="29"/><v>798.15943523450881</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798.15943523450881</v></c></row><row r="121" spans="1:23" s="21" customFormat="1" ht="15.75" x14ac:dyDescent="0.25"><c r="A121" s="22"/><c r="B121" s="61" t="str"><f>Translation!A86</f><v>TRANSPORTES</v></c><c r="C121" s="64"><f>SUM(C122:C125)</f><v>15.120728780082537</v></c><c r="D121" s="64"><f>SUM(D122:D125)</f><v>0</v></c><c r="E121" s="64"><f>SUM(E122:E125)</f><v>0</v></c><c r="F121" s="64"><f t="shared" si="29"/><v>15.120728780082537</v></c><c r="G121" s="64"><f t="shared" ref="G121:L121" si="47">SUM(G122:G125)</f><v>0</v></c><c r="H121" s="64"><f t="shared" si="47"/><v>3996.7230000000004</v></c><c r="I121" s="64"><f t="shared" si="47"/><v>1592.604</v></c><c r="J121" s="64"><f t="shared" si="47"/><v>0</v></c><c r="K121" s="64"><f t="shared" si="47"/><v>0</v></c><c r="L121" s="64"><f t="shared" si="47"/><v>0</v></c><c r="M121" s="64"><f t="shared" si="31"/><v>5589.3270000000002</v></c><c r="N121" s="64"><f t="shared" ref="N121:S121" si="48">SUM(N122:N125)</f><v>0</v></c><c r="O121" s="64"><f t="shared" si="48"/><v>0</v></c><c r="P121" s="64"><f t="shared" si="48"/><v>0</v></c><c r="Q121" s="64"><f t="shared" si="48"/><v>0</v></c><c r="R121" s="64"><f t="shared" si="48"/><v>0</v></c><c r="S121" s="64"><f t="shared" si="48"/><v>0</v></c><c r="T121" s="64"><f t="shared" si="33"/><v>0</v></c><c r="U121" s="64"><f t="shared" si="34"/><v>5604.4477287800828</v></c></row><row r="122" spans="1:23" s="21" customFormat="1" ht="30" x14ac:dyDescent="0.25"><c r="A122" s="22"/><c r="B122" s="183" t="str"><f>Translation!A87</f><v>Transporte de passageiros por estrada (transportes públicos, táxis, turismo, transporte escolar, etc.)</v></c><c r="C122" s="185"><f>IF(AND(C$48&gt;0,($S$133+$V$143)&gt;0), ($S$133+$V$143)/C$48,0)*C44</f><v>0</v></c><c r="D122" s="185"><f>IF(AND(D$48&gt;0,$S$134&gt;0), ($S$134)/D$48,0)*D44</f><v>0</v></c><c r="E122" s="185"><f>IF(AND(E$48&gt;0,$S$135&gt;0), ($S$135)/E$48,0)*E44</f><v>0</v></c><c r="F122" s="64"><f t="shared" si="29"/><v>0</v></c><c r="G122" s="185"><f>'CO2 factors'!C$7*G44</f><v>0</v></c><c r="H122" s="185"><f>'CO2 factors'!D$7*H44</f><v>3996.7230000000004</v></c><c r="I122" s="185"><f>'CO2 factors'!E$7*I44</f><v>1592.604</v></c><c r="J122" s="185"><f>'CO2 factors'!F$7*J44</f><v>0</v></c><c r="K122" s="185"><f>'CO2 factors'!G$7*K44</f><v>0</v></c><c r="L122" s="185"><f>'CO2 factors'!H$7*L44</f><v>0</v></c><c r="M122" s="64"><f t="shared" si="31"/><v>5589.3270000000002</v></c><c r="N122" s="185"><f>'CO2 factors'!J$7*N44</f><v>0</v></c><c r="O122" s="185"><f>'CO2 factors'!K$7*O44</f><v>0</v></c><c r="P122" s="185"><f>'CO2 factors'!L$7*P44</f><v>0</v></c><c r="Q122" s="185"><f>'CO2 factors'!M$7*Q44</f><v>0</v></c><c r="R122" s="185"><f>'CO2 factors'!N$7*R44</f><v>0</v></c><c r="S122" s="185"><f>'CO2 factors'!O$7*S44</f><v>0</v></c><c r="T122" s="64"><f t="shared" si="33"/><v>0</v></c><c r="U122" s="64"><f t="shared" si="34"/><v>5589.3270000000002</v></c></row><row r="123" spans="1:23" s="21" customFormat="1" ht="30" x14ac:dyDescent="0.25"><c r="A123" s="22"/><c r="B123" s="183" t="str"><f>Translation!A88</f><v>Transporte de mercadorias por estrada e serviços de mudanças</v></c><c r="C123" s="185"><f>IF(AND(C$48&gt;0,($S$133+$V$143)&gt;0), ($S$133+$V$143)/C$48,0)*C45</f><v>2.1369187363622908</v></c><c r="D123" s="185"><f>IF(AND(D$48&gt;0,$S$134&gt;0), ($S$134)/D$48,0)*D45</f><v>0</v></c><c r="E123" s="185"><f>IF(AND(E$48&gt;0,$S$135&gt;0), ($S$135)/E$48,0)*E45</f><v>0</v></c><c r="F123" s="64"><f t="shared" si="29"/><v>2.1369187363622908</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2.1369187363622908</v></c></row><row r="124" spans="1:23" s="21" customFormat="1" ht="15.75" x14ac:dyDescent="0.25"><c r="A124" s="22"/><c r="B124" s="183" t="str"><f>Translation!A89</f><v>Outras frotas de serviços públicos e privados</v></c><c r="C124" s="185"><f>IF(AND(C$48&gt;0,($S$133+$V$143)&gt;0), ($S$133+$V$143)/C$48,0)*C46</f><v>4.7945423546862784</v></c><c r="D124" s="185"><f>IF(AND(D$48&gt;0,$S$134&gt;0), ($S$134)/D$48,0)*D46</f><v>0</v></c><c r="E124" s="185"><f>IF(AND(E$48&gt;0,$S$135&gt;0), ($S$135)/E$48,0)*E46</f><v>0</v></c><c r="F124" s="64"><f t="shared" si="29"/><v>4.7945423546862784</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4.7945423546862784</v></c></row><row r="125" spans="1:23" s="21" customFormat="1" ht="15.75" x14ac:dyDescent="0.25"><c r="A125" s="22"/><c r="B125" s="182" t="str"><f>Translation!A90</f><v>Transporte particular</v></c><c r="C125" s="185"><f>IF(AND(C$48&gt;0,($S$133+$V$143)&gt;0), ($S$133+$V$143)/C$48,0)*C47</f><v>8.1892676890339686</v></c><c r="D125" s="185"><f>IF(AND(D$48&gt;0,$S$134&gt;0), ($S$134)/D$48,0)*D47</f><v>0</v></c><c r="E125" s="185"><f>IF(AND(E$48&gt;0,$S$135&gt;0), ($S$135)/E$48,0)*E47</f><v>0</v></c><c r="F125" s="64"><f t="shared" si="29"/><v>8.1892676890339686</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8.1892676890339686</v></c></row><row r="126" spans="1:23" s="21" customFormat="1" ht="15.75" x14ac:dyDescent="0.25"><c r="A126" s="22"/><c r="B126" s="73" t="str"><f>Translation!A118</f><v>TOTAL PARA MERCADO INTERNO</v></c><c r="C126" s="65"><f>C95+C105+C108+C112+C121</f><v>8497.8089999999993</v></c><c r="D126" s="65"><f>D95+D105+D108+D112+D121</f><v>0</v></c><c r="E126" s="65"><f>E95+E105+E108+E112+E121</f><v>0</v></c><c r="F126" s="64"><f t="shared" si="29"/><v>8497.8089999999993</v></c><c r="G126" s="65"><f t="shared" ref="G126:L126" si="49">G95+G105+G108+G112+G121</f><v>0</v></c><c r="H126" s="65"><f t="shared" si="49"/><v>6062.5020000000004</v></c><c r="I126" s="65"><f t="shared" si="49"/><v>1592.604</v></c><c r="J126" s="65"><f t="shared" si="49"/><v>1230.96</v></c><c r="K126" s="65"><f t="shared" si="49"/><v>0</v></c><c r="L126" s="65"><f t="shared" si="49"/><v>0</v></c><c r="M126" s="64"><f t="shared" si="31"/><v>8886.0660000000007</v></c><c r="N126" s="65"><f t="shared" ref="N126:S126" si="50">N95+N105+N108+N112+N121</f><v>0</v></c><c r="O126" s="65"><f t="shared" si="50"/><v>0</v></c><c r="P126" s="65"><f t="shared" si="50"/><v>0</v></c><c r="Q126" s="65"><f t="shared" si="50"/><v>0</v></c><c r="R126" s="65"><f t="shared" si="50"/><v>0</v></c><c r="S126" s="65"><f t="shared" si="50"/><v>0</v></c><c r="T126" s="64"><f t="shared" si="33"/><v>0</v></c><c r="U126" s="64"><f t="shared" si="34"/><v>17383.875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0</v></c><c r="D133" s="189"><f>'CO2 factors'!D$7*D69</f><v>8497.8090000000011</v></c><c r="E133" s="189"><f>'CO2 factors'!E$7*E69</f><v>0</v></c><c r="F133" s="189"><f>'CO2 factors'!F$7*F69</f><v>0</v></c><c r="G133" s="189"><f>'CO2 factors'!G$7*G69</f><v>0</v></c><c r="H133" s="189"><f>'CO2 factors'!H$7*H69</f><v>0</v></c><c r="I133" s="59"><f>SUM(C133:H133)</f><v>8497.8090000000011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8497.8090000000011</v></c><c r="T133" s="58"/><c r="U133" s="294" t="str"><f>Translation!A124</f><v>Electricidade</v></c><c r="V133" s="295"/><c r="W133" s="190"><f>IF(S59&gt;0,S133/S59,0)</f><v>0.61320601818444231</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0</v></c><c r="D136" s="53"><f t="shared" si="51"/><v>8497.8090000000011</v></c><c r="E136" s="53"><f t="shared" si="51"/><v>0</v></c><c r="F136" s="53"><f t="shared" si="51"/><v>0</v></c><c r="G136" s="53"><f t="shared" si="51"/><v>0</v></c><c r="H136" s="53"><f t="shared" si="51"/><v>0</v></c><c r="I136" s="53"><f t="shared" si="51"/><v>8497.8090000000011</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8497.8090000000011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9"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9"/><c r="AA142" s="291"/><c r="AB142" s="291"/></row><row r="143" spans="2:31" s="51" customFormat="1" ht="15.75" x14ac:dyDescent="0.25"><c r="B143" s="107" t="str"><f>Translation!A119</f><v>TOTAL</v></c><c r="C143" s="186"><f>'CO2 factors'!C$7*C79</f><v>0</v></c><c r="D143" s="186"><f>'CO2 factors'!D$7*D79</f><v>14560.311000000002</v></c><c r="E143" s="186"><f>'CO2 factors'!E$7*E79</f><v>1592.604</v></c><c r="F143" s="186"><f>'CO2 factors'!F$7*F79</f><v>1230.96</v></c><c r="G143" s="186"><f>'CO2 factors'!G$7*G79</f><v>0</v></c><c r="H143" s="186"><f>'CO2 factors'!H$7*H79</f><v>0</v></c><c r="I143" s="53"><f>SUM(C143:H143)</f><v>17383.875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17383.875</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Translation!A154</f><v xml:space="preserve">Continue na próxima página dedicada ao Inventário de Emissões em 2020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25"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Graciosa</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64" t="str"><f>Translation!A155</f><v>INVENTÁRIO DE EMISSÕES DO PLANO EM 2020 (com implementação das acções para a energia sustentável)</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4400</v></c><c r="D8" s="31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3941.6550204980758</v></c><c r="D17" s="236"><f>SUM(D18:D26)</f><v>0</v></c><c r="E17" s="236"><f>SUM(E18:E26)</f><v>0</v></c><c r="F17" s="64"><f t="shared" ref="F17:F51" si="0">SUM(C17:E17)</f><v>3941.6550204980758</v></c><c r="G17" s="236"><f t="shared" ref="G17:L17" si="1">SUM(G18:G26)</f><v>0</v></c><c r="H17" s="236"><f t="shared" si="1"/><v>0</v></c><c r="I17" s="236"><f t="shared" si="1"/><v>0</v></c><c r="J17" s="236"><f t="shared" si="1"/><v>3816.8800873677401</v></c><c r="K17" s="236"><f t="shared" si="1"/><v>0</v></c><c r="L17" s="236"><f t="shared" si="1"/><v>0</v></c><c r="M17" s="64"><f t="shared" ref="M17:M51" si="2">SUM(G17:L17)</f><v>3816.8800873677401</v></c><c r="N17" s="236"><f t="shared" ref="N17:S17" si="3">SUM(N18:N26)</f><v>0</v></c><c r="O17" s="236"><f t="shared" si="3"/><v>0</v></c><c r="P17" s="236"><f t="shared" si="3"/><v>1116.1088964288165</v></c><c r="Q17" s="236"><f t="shared" si="3"/><v>0</v></c><c r="R17" s="236"><f t="shared" si="3"/><v>0</v></c><c r="S17" s="236"><f t="shared" si="3"/><v>0</v></c><c r="T17" s="64"><f t="shared" ref="T17:T51" si="4">SUM(N17:S17)</f><v>1116.1088964288165</v></c><c r="U17" s="64"><f t="shared" ref="U17:U51" si="5">F17+M17+T17</f><v>8874.6440042946324</v></c></row><row r="18" spans="1:21" s="21" customFormat="1" ht="15.75" x14ac:dyDescent="0.25"><c r="A18" s="22"/><c r="B18" s="182" t="str"><f>Translation!A61</f><v>Água quente</v></c><c r="C18" s="154"><v>4174.033342575186</v></c><c r="D18" s="154"/><c r="E18" s="154"/><c r="F18" s="64"><f t="shared" si="0"/><v>4174.033342575186</v></c><c r="G18" s="154"/><c r="H18" s="154"/><c r="I18" s="154"/><c r="J18" s="154"><v>3816.8800873677401</v></c><c r="K18" s="154"><v>0</v></c><c r="L18" s="154"><v>0</v></c><c r="M18" s="64"><f t="shared" si="2"/><v>3816.8800873677401</v></c><c r="N18" s="154"/><c r="O18" s="154"><v>0</v></c><c r="P18" s="154"><v>1116.1088964288165</v></c><c r="Q18" s="154"><v>0</v></c><c r="R18" s="154"/><c r="S18" s="154"/><c r="T18" s="64"><f t="shared" si="4"/><v>1116.1088964288165</v></c><c r="U18" s="64"><f t="shared" si="5"/><v>9107.0223263717417</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-116.76721656611002</v></c><c r="D20" s="154"/><c r="E20" s="154"/><c r="F20" s="64"><f t="shared" si="0"/><v>-116.76721656611002</v></c><c r="G20" s="154"/><c r="H20" s="154"/><c r="I20" s="154"/><c r="J20" s="154"/><c r="K20" s="154"/><c r="L20" s="154"/><c r="M20" s="64"><f t="shared" si="2"/><v>0</v></c><c r="N20" s="154"/><c r="O20" s="154"/><c r="P20" s="154"/><c r="Q20" s="154"/><c r="R20" s="154"/><c r="S20" s="154"/><c r="T20" s="64"><f t="shared" si="4"/><v>0</v></c><c r="U20" s="64"><f t="shared" si="5"/><v>-116.76721656611002</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-115.61110551100003</v></c><c r="D22" s="154"/><c r="E22" s="154"/><c r="F22" s="64"><f t="shared" si="0"/><v>-115.61110551100003</v></c><c r="G22" s="154"/><c r="H22" s="154"/><c r="I22" s="154"/><c r="J22" s="154"/><c r="K22" s="154"/><c r="L22" s="154"/><c r="M22" s="64"><f t="shared" si="2"/><v>0</v></c><c r="N22" s="154"/><c r="O22" s="154"/><c r="P22" s="154"/><c r="Q22" s="154"/><c r="R22" s="154"/><c r="S22" s="154"/><c r="T22" s="64"><f t="shared" si="4"/><v>0</v></c><c r="U22" s="64"><f t="shared" si="5"/><v>-115.61110551100003</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176.1521495152416</v></c><c r="D27" s="236"><f>SUM(D28:D29)</f><v>0</v></c><c r="E27" s="236"><f>SUM(E28:E29)</f><v>0</v></c><c r="F27" s="64"><f t="shared" si="0"/><v>176.1521495152416</v></c><c r="G27" s="236"><f t="shared" ref="G27:L27" si="6">SUM(G28:G29)</f><v>0</v></c><c r="H27" s="236"><f t="shared" si="6"/><v>9597.8111323903086</v></c><c r="I27" s="236"><f t="shared" si="6"/><v>0</v></c><c r="J27" s="236"><f t="shared" si="6"/><v>0</v></c><c r="K27" s="236"><f t="shared" si="6"/><v>0</v></c><c r="L27" s="236"><f t="shared" si="6"/><v>0</v></c><c r="M27" s="64"><f t="shared" si="2"/><v>9597.8111323903086</v></c><c r="N27" s="236"><f t="shared" ref="N27:S27" si="7">SUM(N28:N29)</f><v>0</v></c><c r="O27" s="236"><f t="shared" si="7"/><v>0</v></c><c r="P27" s="236"><f t="shared" si="7"/><v>0</v></c><c r="Q27" s="236"><f t="shared" si="7"/><v>0</v></c><c r="R27" s="236"><f t="shared" si="7"/><v>0</v></c><c r="S27" s="236"><f t="shared" si="7"/><v>0</v></c><c r="T27" s="64"><f t="shared" si="4"/><v>0</v></c><c r="U27" s="64"><f t="shared" si="5"/><v>9773.9632819055496</v></c></row><row r="28" spans="1:21" s="21" customFormat="1" ht="15.75" x14ac:dyDescent="0.25"><c r="A28" s="22"/><c r="B28" s="183" t="str"><f>Translation!A71</f><v>Agricultura, produção animal, caça, floresta e pesca</v></c><c r="C28" s="154"><v>176.1521495152416</v></c><c r="D28" s="154"/><c r="E28" s="154"/><c r="F28" s="64"><f t="shared" si="0"/><v>176.1521495152416</v></c><c r="G28" s="154"/><c r="H28" s="154"><v>9597.8111323903086</v></c><c r="I28" s="154"/><c r="J28" s="154"/><c r="K28" s="154"/><c r="L28" s="154"/><c r="M28" s="64"><f t="shared" si="2"/><v>9597.8111323903086</v></c><c r="N28" s="154"/><c r="O28" s="154"/><c r="P28" s="154"/><c r="Q28" s="154"/><c r="R28" s="154"/><c r="S28" s="154"/><c r="T28" s="64"><f t="shared" si="4"/><v>0</v></c><c r="U28" s="64"><f t="shared" si="5"/><v>9773.9632819055496</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2611.3329168027067</v></c><c r="D30" s="236"><f>SUM(D31:D33)</f><v>0</v></c><c r="E30" s="236"><f>SUM(E31:E33)</f><v>0</v></c><c r="F30" s="64"><f t="shared" si="0"/><v>2611.3329168027067</v></c><c r="G30" s="236"><f t="shared" ref="G30:L30" si="8">SUM(G31:G33)</f><v>0</v></c><c r="H30" s="236"><f t="shared" si="8"/><v>0</v></c><c r="I30" s="236"><f t="shared" si="8"/><v>0</v></c><c r="J30" s="236"><f t="shared" si="8"/><v>0</v></c><c r="K30" s="236"><f t="shared" si="8"/><v>0</v></c><c r="L30" s="236"><f t="shared" si="8"/><v>0</v></c><c r="M30" s="64"><f t="shared" si="2"/><v>0</v></c><c r="N30" s="236"><f t="shared" ref="N30:S30" si="9">SUM(N31:N33)</f><v>0</v></c><c r="O30" s="236"><f t="shared" si="9"/><v>0</v></c><c r="P30" s="236"><f t="shared" si="9"/><v>0</v></c><c r="Q30" s="236"><f t="shared" si="9"/><v>0</v></c><c r="R30" s="236"><f t="shared" si="9"/><v>0</v></c><c r="S30" s="236"><f t="shared" si="9"/><v>0</v></c><c r="T30" s="64"><f t="shared" si="4"/><v>0</v></c><c r="U30" s="64"><f t="shared" si="5"/><v>2611.3329168027067</v></c></row><row r="31" spans="1:21" s="21" customFormat="1" ht="15.75" x14ac:dyDescent="0.25"><c r="A31" s="22"/><c r="B31" s="183" t="str"><f>Translation!A74</f><v>Indústrias transformadoras</v></c><c r="C31" s="154"><v>2178.5115108896625</v></c><c r="D31" s="154"/><c r="E31" s="154"/><c r="F31" s="64"><f t="shared" si="0"/><v>2178.5115108896625</v></c><c r="G31" s="154"><v>0</v></c><c r="H31" s="154"/><c r="I31" s="154"/><c r="J31" s="154"/><c r="K31" s="154"/><c r="L31" s="154"/><c r="M31" s="64"><f t="shared" si="2"/><v>0</v></c><c r="N31" s="154"/><c r="O31" s="154"/><c r="P31" s="154"/><c r="Q31" s="154"/><c r="R31" s="154"/><c r="S31" s="154"/><c r="T31" s="64"><f t="shared" si="4"/><v>0</v></c><c r="U31" s="64"><f t="shared" si="5"/><v>2178.5115108896625</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432.82140591304392</v></c><c r="D33" s="154"/><c r="E33" s="154"/><c r="F33" s="64"><f t="shared" si="0"/><v>432.82140591304392</v></c><c r="G33" s="154"><v>0</v></c><c r="H33" s="154"/><c r="I33" s="154"/><c r="J33" s="154"/><c r="K33" s="154"/><c r="L33" s="154"/><c r="M33" s="64"><f t="shared" si="2"/><v>0</v></c><c r="N33" s="154"/><c r="O33" s="154"/><c r="P33" s="154"/><c r="Q33" s="154"/><c r="R33" s="154"/><c r="S33" s="154"/><c r="T33" s="64"><f t="shared" si="4"/><v>0</v></c><c r="U33" s="64"><f t="shared" si="5"/><v>432.82140591304392</v></c></row><row r="34" spans="1:21" s="21" customFormat="1" ht="15.75" x14ac:dyDescent="0.25"><c r="A34" s="22"/><c r="B34" s="61" t="str"><f>Translation!A77</f><v>SECTOR TERCIÁRIO</v></c><c r="C34" s="236"><f>SUM(C35:C42)</f><v>6285.4211892576186</v></c><c r="D34" s="236"><f>SUM(D35:D42)</f><v>0</v></c><c r="E34" s="236"><f>SUM(E35:E42)</f><v>0</v></c><c r="F34" s="64"><f t="shared" si="0"/><v>6285.4211892576186</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6285.4211892576186</v></c></row><row r="35" spans="1:21" s="21" customFormat="1" ht="30" x14ac:dyDescent="0.25"><c r="A35" s="22"/><c r="B35" s="183" t="str"><f>Translation!A78</f><v>Comércio por grosso e a retalho; reparação de veículos automóveis e motociclos</v></c><c r="C35" s="154"><v>1202.9952848734674</v></c><c r="D35" s="154"/><c r="E35" s="154"/><c r="F35" s="64"><f t="shared" si="0"/><v>1202.9952848734674</v></c><c r="G35" s="154"/><c r="H35" s="154"/><c r="I35" s="154"/><c r="J35" s="154"/><c r="K35" s="154"/><c r="L35" s="154"/><c r="M35" s="64"><f t="shared" si="2"/><v>0</v></c><c r="N35" s="154"/><c r="O35" s="154"/><c r="P35" s="154"/><c r="Q35" s="154"/><c r="R35" s="154"/><c r="S35" s="154"/><c r="T35" s="64"><f t="shared" si="4"/><v>0</v></c><c r="U35" s="64"><f t="shared" si="5"/><v>1202.9952848734674</v></c></row><row r="36" spans="1:21" s="21" customFormat="1" ht="15.75" x14ac:dyDescent="0.25"><c r="A36" s="22"/><c r="B36" s="183" t="str"><f>Translation!A79</f><v>Alojamento, restauração e similares</v></c><c r="C36" s="154"><v>583.62053405716063</v></c><c r="D36" s="154"/><c r="E36" s="154"/><c r="F36" s="64"><f t="shared" si="0"/><v>583.62053405716063</v></c><c r="G36" s="154"/><c r="H36" s="154"/><c r="I36" s="154"/><c r="J36" s="154"/><c r="K36" s="154"/><c r="L36" s="154"/><c r="M36" s="64"><f t="shared" si="2"/><v>0</v></c><c r="N36" s="154"/><c r="O36" s="154"/><c r="P36" s="154"/><c r="Q36" s="154"/><c r="R36" s="154"/><c r="S36" s="154"/><c r="T36" s="64"><f t="shared" si="4"/><v>0</v></c><c r="U36" s="64"><f t="shared" si="5"/><v>583.62053405716063</v></c></row><row r="37" spans="1:21" s="21" customFormat="1" ht="15.75" x14ac:dyDescent="0.25"><c r="A37" s="22"/><c r="B37" s="183" t="str"><f>Translation!A80</f><v>Administração pública e segurança social</v></c><c r="C37" s="154"><v>1888.2926418134864</v></c><c r="D37" s="154"/><c r="E37" s="154"/><c r="F37" s="64"><f t="shared" si="0"/><v>1888.2926418134864</v></c><c r="G37" s="154"/><c r="H37" s="154"/><c r="I37" s="154"/><c r="J37" s="154"/><c r="K37" s="154"/><c r="L37" s="154"/><c r="M37" s="64"><f t="shared" si="2"/><v>0</v></c><c r="N37" s="154"/><c r="O37" s="154"/><c r="P37" s="154"/><c r="Q37" s="154"/><c r="R37" s="154"/><c r="S37" s="154"/><c r="T37" s="64"><f t="shared" si="4"/><v>0</v></c><c r="U37" s="64"><f t="shared" si="5"/><v>1888.2926418134864</v></c></row><row r="38" spans="1:21" s="21" customFormat="1" ht="15.75" x14ac:dyDescent="0.25"><c r="A38" s="22"/><c r="B38" s="183" t="str"><f>Translation!A81</f><v>Defesa, justiça, polícia e bombeiros</v></c><c r="C38" s="154"><v>193.20318849582782</v></c><c r="D38" s="154"/><c r="E38" s="154"/><c r="F38" s="64"><f t="shared" si="0"/><v>193.20318849582782</v></c><c r="G38" s="154"/><c r="H38" s="154"/><c r="I38" s="154"/><c r="J38" s="154"/><c r="K38" s="154"/><c r="L38" s="154"/><c r="M38" s="64"><f t="shared" si="2"/><v>0</v></c><c r="N38" s="154"/><c r="O38" s="154"/><c r="P38" s="154"/><c r="Q38" s="154"/><c r="R38" s="154"/><c r="S38" s="154"/><c r="T38" s="64"><f t="shared" si="4"/><v>0</v></c><c r="U38" s="64"><f t="shared" si="5"/><v>193.20318849582782</v></c></row><row r="39" spans="1:21" s="21" customFormat="1" ht="15.75" x14ac:dyDescent="0.25"><c r="A39" s="22"/><c r="B39" s="183" t="str"><f>Translation!A82</f><v>Educação</v></c><c r="C39" s="154"><v>192.2804196531107</v></c><c r="D39" s="154"/><c r="E39" s="154"/><c r="F39" s="64"><f t="shared" si="0"/><v>192.2804196531107</v></c><c r="G39" s="154"/><c r="H39" s="154"/><c r="I39" s="154"/><c r="J39" s="154"/><c r="K39" s="154"/><c r="L39" s="154"/><c r="M39" s="64"><f t="shared" si="2"/><v>0</v></c><c r="N39" s="154"/><c r="O39" s="154"/><c r="P39" s="154"/><c r="Q39" s="154"/><c r="R39" s="154"/><c r="S39" s="154"/><c r="T39" s="64"><f t="shared" si="4"/><v>0</v></c><c r="U39" s="64"><f t="shared" si="5"/><v>192.2804196531107</v></c></row><row r="40" spans="1:21" s="21" customFormat="1" ht="15.75" x14ac:dyDescent="0.25"><c r="A40" s="22"/><c r="B40" s="183" t="str"><f>Translation!A83</f><v>Actividades de saúde humana e apoio social</v></c><c r="C40" s="154"><v>436.088251483546</v></c><c r="D40" s="154"/><c r="E40" s="154"/><c r="F40" s="64"><f t="shared" si="0"/><v>436.088251483546</v></c><c r="G40" s="154"/><c r="H40" s="154"/><c r="I40" s="154"/><c r="J40" s="154"/><c r="K40" s="154"/><c r="L40" s="154"/><c r="M40" s="64"><f t="shared" si="2"/><v>0</v></c><c r="N40" s="154"/><c r="O40" s="154"/><c r="P40" s="154"/><c r="Q40" s="154"/><c r="R40" s="154"/><c r="S40" s="154"/><c r="T40" s="64"><f t="shared" si="4"/><v>0</v></c><c r="U40" s="64"><f t="shared" si="5"/><v>436.088251483546</v></c></row><row r="41" spans="1:21" s="21" customFormat="1" ht="15.75" x14ac:dyDescent="0.25"><c r="A41" s="22"/><c r="B41" s="183" t="str"><f>Translation!A84</f><v>Outros serviços</v></c><c r="C41" s="154"><v>1010.7763831432046</v></c><c r="D41" s="154"/><c r="E41" s="154"/><c r="F41" s="64"><f t="shared" si="0"/><v>1010.7763831432046</v></c><c r="G41" s="154"/><c r="H41" s="154"/><c r="I41" s="154"/><c r="J41" s="154"/><c r="K41" s="154"/><c r="L41" s="154"/><c r="M41" s="64"><f t="shared" si="2"/><v>0</v></c><c r="N41" s="154"/><c r="O41" s="154"/><c r="P41" s="154"/><c r="Q41" s="154"/><c r="R41" s="154"/><c r="S41" s="154"/><c r="T41" s="64"><f t="shared" si="4"/><v>0</v></c><c r="U41" s="64"><f t="shared" si="5"/><v>1010.7763831432046</v></c></row><row r="42" spans="1:21" s="21" customFormat="1" ht="15.75" x14ac:dyDescent="0.25"><c r="A42" s="22"/><c r="B42" s="183" t="str"><f>Translation!A85</f><v>Iluminação pública</v></c><c r="C42" s="154"><v>778.16448573781486</v></c><c r="D42" s="154"/><c r="E42" s="154"/><c r="F42" s="64"><f t="shared" si="0"/><v>778.16448573781486</v></c><c r="G42" s="154"/><c r="H42" s="154"/><c r="I42" s="154"/><c r="J42" s="154"/><c r="K42" s="154"/><c r="L42" s="154"/><c r="M42" s="64"><f t="shared" si="2"/><v>0</v></c><c r="N42" s="154"/><c r="O42" s="154"/><c r="P42" s="154"/><c r="Q42" s="154"/><c r="R42" s="154"/><c r="S42" s="154"/><c r="T42" s="64"><f t="shared" si="4"/><v>0</v></c><c r="U42" s="64"><f t="shared" si="5"/><v>778.16448573781486</v></c></row><row r="43" spans="1:21" s="21" customFormat="1" ht="15.75" x14ac:dyDescent="0.25"><c r="A43" s="22"/><c r="B43" s="61" t="str"><f>Translation!A86</f><v>TRANSPORTES</v></c><c r="C43" s="236"><f>SUM(C44:C47)</f><v>330.38582815755711</v></c><c r="D43" s="236"><f>SUM(D44:D47)</f><v>0</v></c><c r="E43" s="236"><f>SUM(E44:E47)</f><v>0</v></c><c r="F43" s="64"><f t="shared" si="0"/><v>330.38582815755711</v></c><c r="G43" s="236"><f t="shared" ref="G43:L43" si="12">SUM(G44:G47)</f><v>0</v></c><c r="H43" s="236"><f t="shared" si="12"/><v>15095.222846968563</v></c><c r="I43" s="236"><f t="shared" si="12"/><v>6427.5525551542787</v></c><c r="J43" s="236"><f t="shared" si="12"/><v>0</v></c><c r="K43" s="236"><f t="shared" si="12"/><v>0</v></c><c r="L43" s="236"><f t="shared" si="12"/><v>0</v></c><c r="M43" s="64"><f t="shared" si="2"/><v>21522.775402122843</v></c><c r="N43" s="236"><f t="shared" ref="N43:S43" si="13">SUM(N44:N47)</f><v>0</v></c><c r="O43" s="236"><f t="shared" si="13"/><v>0</v></c><c r="P43" s="236"><f t="shared" si="13"/><v>0</v></c><c r="Q43" s="236"><f t="shared" si="13"/><v>0</v></c><c r="R43" s="236"><f t="shared" si="13"/><v>0</v></c><c r="S43" s="236"><f t="shared" si="13"/><v>0</v></c><c r="T43" s="64"><f t="shared" si="4"/><v>0</v></c><c r="U43" s="64"><f t="shared" si="5"/><v>21853.161230280399</v></c></row><row r="44" spans="1:21" s="21" customFormat="1" ht="30" x14ac:dyDescent="0.25"><c r="A44" s="22"/><c r="B44" s="183" t="str"><f>Translation!A87</f><v>Transporte de passageiros por estrada (transportes públicos, táxis, turismo, transporte escolar, etc.)</v></c><c r="C44" s="154"><v>305.46872279999991</v></c><c r="D44" s="154"/><c r="E44" s="154"/><c r="F44" s="64"><f t="shared" si="0"/><v>305.46872279999991</v></c><c r="G44" s="154"/><c r="H44" s="154"><v>15095.222846968563</v></c><c r="I44" s="154"><v>6427.5525551542787</v></c><c r="J44" s="154"><v>0</v></c><c r="K44" s="154"><v>0</v></c><c r="L44" s="154"/><c r="M44" s="64"><f t="shared" si="2"/><v>21522.775402122843</v></c><c r="N44" s="154"/><c r="O44" s="154"/><c r="P44" s="154"/><c r="Q44" s="154"/><c r="R44" s="154"/><c r="S44" s="154"/><c r="T44" s="64"><f t="shared" si="4"/><v>0</v></c><c r="U44" s="64"><f t="shared" si="5"/><v>21828.244124922843</v></c></row><row r="45" spans="1:21" s="21" customFormat="1" ht="30" x14ac:dyDescent="0.25"><c r="A45" s="22"/><c r="B45" s="183" t="str"><f>Translation!A88</f><v>Transporte de mercadorias por estrada e serviços de mudanças</v></c><c r="C45" s="154"><v>3.521379826917749</v></c><c r="D45" s="154"/><c r="E45" s="154"/><c r="F45" s="64"><f t="shared" si="0"/><v>3.521379826917749</v></c><c r="G45" s="154"/><c r="H45" s="154"><v>0</v></c><c r="I45" s="154"><v>0</v></c><c r="J45" s="154"><v>0</v></c><c r="K45" s="154"><v>0</v></c><c r="L45" s="154"/><c r="M45" s="64"><f t="shared" si="2"/><v>0</v></c><c r="N45" s="154"/><c r="O45" s="154"/><c r="P45" s="154"/><c r="Q45" s="154"/><c r="R45" s="154"/><c r="S45" s="154"/><c r="T45" s="64"><f t="shared" si="4"/><v>0</v></c><c r="U45" s="64"><f t="shared" si="5"/><v>3.521379826917749</v></c></row><row r="46" spans="1:21" s="21" customFormat="1" ht="15.75" x14ac:dyDescent="0.25"><c r="A46" s="22"/><c r="B46" s="183" t="str"><f>Translation!A89</f><v>Outras frotas de serviços públicos e privados</v></c><c r="C46" s="154"><v>7.9008173964705177</v></c><c r="D46" s="154"/><c r="E46" s="154"/><c r="F46" s="64"><f t="shared" si="0"/><v>7.9008173964705177</v></c><c r="G46" s="154"/><c r="H46" s="154"><v>0</v></c><c r="I46" s="154"><v>0</v></c><c r="J46" s="154"><v>0</v></c><c r="K46" s="154"><v>0</v></c><c r="L46" s="154"/><c r="M46" s="64"><f t="shared" si="2"/><v>0</v></c><c r="N46" s="154"/><c r="O46" s="154"/><c r="P46" s="154"/><c r="Q46" s="154"/><c r="R46" s="154"/><c r="S46" s="154"/><c r="T46" s="64"><f t="shared" si="4"/><v>0</v></c><c r="U46" s="64"><f t="shared" si="5"/><v>7.9008173964705177</v></c></row><row r="47" spans="1:21" s="21" customFormat="1" ht="15.75" x14ac:dyDescent="0.25"><c r="A47" s="22"/><c r="B47" s="182" t="str"><f>Translation!A90</f><v>Transporte particular</v></c><c r="C47" s="154"><v>13.494908134168968</v></c><c r="D47" s="154"/><c r="E47" s="154"/><c r="F47" s="64"><f t="shared" si="0"/><v>13.494908134168968</v></c><c r="G47" s="154"/><c r="H47" s="154"><v>0</v></c><c r="I47" s="154"><v>0</v></c><c r="J47" s="154"><v>0</v></c><c r="K47" s="154"><v>0</v></c><c r="L47" s="154"/><c r="M47" s="64"><f t="shared" si="2"/><v>0</v></c><c r="N47" s="154"/><c r="O47" s="154"/><c r="P47" s="154"/><c r="Q47" s="154"/><c r="R47" s="154"/><c r="S47" s="154"/><c r="T47" s="64"><f t="shared" si="4"/><v>0</v></c><c r="U47" s="64"><f t="shared" si="5"/><v>13.494908134168968</v></c></row><row r="48" spans="1:21" s="21" customFormat="1" ht="15.75" x14ac:dyDescent="0.25"><c r="A48" s="22"/><c r="B48" s="73" t="str"><f>Translation!A118</f><v>TOTAL PARA MERCADO INTERNO</v></c><c r="C48" s="65"><f>C17+C27+C30+C34+C43</f><v>13344.947104231202</v></c><c r="D48" s="65"><f>D17+D27+D30+D34+D43</f><v>0</v></c><c r="E48" s="65"><f>E17+E27+E30+E34+E43</f><v>0</v></c><c r="F48" s="64"><f t="shared" si="0"/><v>13344.947104231202</v></c><c r="G48" s="65"><f t="shared" ref="G48:L48" si="14">G17+G27+G30+G34+G43</f><v>0</v></c><c r="H48" s="65"><f t="shared" si="14"/><v>24693.033979358872</v></c><c r="I48" s="65"><f t="shared" si="14"/><v>6427.5525551542787</v></c><c r="J48" s="65"><f t="shared" si="14"/><v>3816.8800873677401</v></c><c r="K48" s="65"><f t="shared" si="14"/><v>0</v></c><c r="L48" s="65"><f t="shared" si="14"/><v>0</v></c><c r="M48" s="64"><f t="shared" si="2"/><v>34937.466621880892</v></c><c r="N48" s="65"><f t="shared" ref="N48:S48" si="15">N17+N27+N30+N34+N43</f><v>0</v></c><c r="O48" s="65"><f t="shared" si="15"/><v>0</v></c><c r="P48" s="65"><f t="shared" si="15"/><v>1116.1088964288165</v></c><c r="Q48" s="65"><f t="shared" si="15"/><v>0</v></c><c r="R48" s="65"><f t="shared" si="15"/><v>0</v></c><c r="S48" s="65"><f t="shared" si="15"/><v>0</v></c><c r="T48" s="64"><f t="shared" si="4"/><v>1116.1088964288165</v></c><c r="U48" s="64"><f t="shared" si="5"/><v>49398.522622540906</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13344.947104231202</v></c><c r="D52" s="53"><f t="shared" ref="D52:U52" si="16">SUM(D48:D51)</f><v>0</v></c><c r="E52" s="53"><f t="shared" si="16"/><v>0</v></c><c r="F52" s="53"><f t="shared" si="16"/><v>13344.947104231202</v></c><c r="G52" s="53"><f t="shared" si="16"/><v>0</v></c><c r="H52" s="53"><f t="shared" si="16"/><v>24693.033979358872</v></c><c r="I52" s="53"><f t="shared" si="16"/><v>6427.5525551542787</v></c><c r="J52" s="53"><f t="shared" si="16"/><v>3816.8800873677401</v></c><c r="K52" s="53"><f t="shared" si="16"/><v>0</v></c><c r="L52" s="53"><f t="shared" si="16"/><v>0</v></c><c r="M52" s="53"><f t="shared" si="16"/><v>34937.466621880892</v></c><c r="N52" s="53"><f t="shared" si="16"/><v>0</v></c><c r="O52" s="53"><f t="shared" si="16"/><v>0</v></c><c r="P52" s="53"><f t="shared" si="16"/><v>1116.1088964288165</v></c><c r="Q52" s="53"><f t="shared" si="16"/><v>0</v></c><c r="R52" s="53"><f t="shared" si="16"/><v>0</v></c><c r="S52" s="53"><f t="shared" si="16"/><v>0</v></c><c r="T52" s="53"><f t="shared" si="16"/><v>1116.1088964288165</v></c><c r="U52" s="53"><f t="shared" si="16"/><v>49398.522622540906</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9"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9" t="str"><f>Translation!A117</f><v>Subtotal</v></c><c r="T57" s="306" t="str"><f>Translation!A140</f><v>Conversão de electricidade para frio</v></c><c r="U57" s="306" t="str"><f>Translation!A141</f><v>Conversão de calor para frio</v></c><c r="V57" s="259" t="str"><f>Translation!A117</f><v>Subtotal</v></c><c r="W57" s="310" t="str"><f>Translation!A131</f><v>Armazenamento</v></c><c r="X57" s="311"/><c r="Y57" s="309" t="str"><f>Translation!A134</f><v>Ligação externa</v></c><c r="Z57" s="309"/><c r="AA57" s="275" t="str"><f>Translation!A137</f><v>Reexportação e consumos externos</v></c><c r="AB57" s="259" t="str"><f>Translation!A117</f><v>Subtotal</v></c><c r="AC57" s="308"/><c r="AD57" s="259"/></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9"/><c r="T58" s="307"/><c r="U58" s="307"/><c r="V58" s="259"/><c r="W58" s="110" t="str"><f>Translation!A132</f><v>Entrada para armazenamento</v></c><c r="X58" s="110" t="str"><f>Translation!A133</f><v>Saída do armazenamento</v></c><c r="Y58" s="110" t="str"><f>Translation!A135</f><v>Importação para a ilha</v></c><c r="Z58" s="110" t="str"><f>Translation!A136</f><v>Exportação da ilha</v></c><c r="AA58" s="276"/><c r="AB58" s="259"/><c r="AC58" s="308"/><c r="AD58" s="259"/></row><row r="59" spans="2:32" s="51" customFormat="1" ht="15.75" x14ac:dyDescent="0.25"><c r="B59" s="184" t="str"><f>Translation!A124</f><v>Electricidade</v></c><c r="C59" s="237"><v>0</v></c><c r="D59" s="237"><v>6260.4390047013367</v></c><c r="E59" s="237"/><c r="F59" s="237"/><c r="G59" s="237"><v>0</v></c><c r="H59" s="237"><v>0</v></c><c r="I59" s="59"><f>SUM(C59:H59)</f><v>6260.4390047013367</v></c><c r="J59" s="237"><v>0</v></c><c r="K59" s="237"><v>3311.28</v></c><c r="L59" s="237"><v>1314</v></c><c r="M59" s="237"><v>0</v></c><c r="N59" s="237"><v>0</v></c><c r="O59" s="237"><v>3942</v></c><c r="P59" s="237"><v>0</v></c><c r="Q59" s="237"><v>0</v></c><c r="R59" s="59"><f>SUM(J59:Q59)</f><v>8567.2800000000007</v></c><c r="S59" s="59"><f>I59+R59</f><v>14827.719004701337</v></c><c r="T59" s="237"/><c r="U59" s="237"/><c r="V59" s="59"><f>-T59</f><v>0</v></c><c r="W59" s="237"/><c r="X59" s="237"/><c r="Y59" s="237"/><c r="Z59" s="237"/><c r="AA59" s="186"><f>$C$49+$C$50+$C$51</f><v>0</v></c><c r="AB59" s="59"><f>-SUM(W59)+SUM(X59:Y59)-SUM(Z59:AA59)</f><v>0</v></c><c r="AC59" s="64"><f>S59+V59+AB59</f><v>14827.719004701337</v></c><c r="AD59" s="187"><f>AC59-C48</f><v>1482.7719004701357</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6260.4390047013367</v></c><c r="E62" s="53"><f t="shared" si="17"/><v>0</v></c><c r="F62" s="53"><f t="shared" si="17"/><v>0</v></c><c r="G62" s="53"><f t="shared" si="17"/><v>0</v></c><c r="H62" s="53"><f t="shared" si="17"/><v>0</v></c><c r="I62" s="53"><f t="shared" si="17"/><v>6260.4390047013367</v></c><c r="J62" s="53"><f t="shared" si="17"/><v>0</v></c><c r="K62" s="53"><f t="shared" si="17"/><v>3311.28</v></c><c r="L62" s="53"><f t="shared" si="17"/><v>1314</v></c><c r="M62" s="53"><f t="shared" si="17"/><v>0</v></c><c r="N62" s="53"><f t="shared" si="17"/><v>0</v></c><c r="O62" s="53"><f t="shared" si="17"/><v>3942</v></c><c r="P62" s="53"><f t="shared" si="17"/><v>0</v></c><c r="Q62" s="53"><f t="shared" si="17"/><v>0</v></c><c r="R62" s="53"><f t="shared" si="17"/><v>8567.2800000000007</v></c><c r="S62" s="53"><f t="shared" si="17"/><v>14827.719004701337</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14827.719004701337</v></c><c r="AD62" s="53"><f t="shared" si="17"/><v>1482.7719004701357</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v>0</v></c><c r="D69" s="237"><v>14644.301765383241</v></c><c r="E69" s="237"/><c r="F69" s="237"/><c r="G69" s="237"><v>0</v></c><c r="H69" s="237"><v>0</v></c><c r="I69" s="59"><f>SUM(C69:H69)</f><v>14644.301765383241</v></c><c r="J69" s="185"><f>J59</f><v>0</v></c><c r="K69" s="185"><f t="shared" ref="K69:P69" si="18">K59</f><v>3311.28</v></c><c r="L69" s="185"><f t="shared" si="18"/><v>1314</v></c><c r="M69" s="185"><f t="shared" si="18"/><v>0</v></c><c r="N69" s="185"><f t="shared" si="18"/><v>0</v></c><c r="O69" s="237"/><c r="P69" s="185"><f t="shared" si="18"/><v>0</v></c><c r="Q69" s="185"/><c r="R69" s="59"><f>SUM(J69:Q69)</f><v>4625.2800000000007</v></c><c r="S69" s="59"><f>I69+R69</f><v>19269.581765383242</v></c><c r="T69" s="71"><f>S69-AC59+AB59</f><v>4441.8627606819045</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14644.301765383241</v></c><c r="E72" s="53"><f t="shared" si="20"/><v>0</v></c><c r="F72" s="53"><f t="shared" si="20"/><v>0</v></c><c r="G72" s="53"><f t="shared" si="20"/><v>0</v></c><c r="H72" s="53"><f t="shared" si="20"/><v>0</v></c><c r="I72" s="53"><f t="shared" si="20"/><v>14644.301765383241</v></c><c r="J72" s="53"><f t="shared" si="20"/><v>0</v></c><c r="K72" s="53"><f t="shared" si="20"/><v>3311.28</v></c><c r="L72" s="53"><f t="shared" si="20"/><v>1314</v></c><c r="M72" s="53"><f t="shared" si="20"/><v>0</v></c><c r="N72" s="53"><f t="shared" si="20"/><v>0</v></c><c r="O72" s="53"><f t="shared" si="20"/><v>0</v></c><c r="P72" s="53"><f t="shared" si="20"/><v>0</v></c><c r="Q72" s="53"><f t="shared" si="20"/><v>0</v></c><c r="R72" s="53"><f t="shared" si="20"/><v>4625.2800000000007</v></c><c r="S72" s="53"><f t="shared" si="20"/><v>19269.581765383242</v></c><c r="T72" s="71"><f>S72-AC62+AB62</f><v>4441.8627606819045</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1">G48+C72</f><v>0</v></c><c r="D79" s="186"><f t="shared" si="21"/><v>39337.335744742115</v></c><c r="E79" s="186"><f t="shared" si="21"/><v>6427.5525551542787</v></c><c r="F79" s="186"><f t="shared" si="21"/><v>3816.8800873677401</v></c><c r="G79" s="186"><f t="shared" si="21"/><v>0</v></c><c r="H79" s="186"><f t="shared" si="21"/><v>0</v></c><c r="I79" s="53"><f>SUM(C79:H79)</f><v>49581.768387264136</v></c><c r="J79" s="186"><f t="shared" ref="J79:O79" si="22">N48+J72</f><v>0</v></c><c r="K79" s="186"><f t="shared" si="22"/><v>3311.28</v></c><c r="L79" s="186"><f t="shared" si="22"/><v>2430.1088964288165</v></c><c r="M79" s="186"><f t="shared" si="22"/><v>0</v></c><c r="N79" s="186"><f t="shared" si="22"/><v>0</v></c><c r="O79" s="186"><f t="shared" si="22"/><v>0</v></c><c r="P79" s="186"><f>P72</f><v>0</v></c><c r="Q79" s="186"><f>Q72</f><v>0</v></c><c r="R79" s="53"><f>SUM(J79:Q79)</f><v>5741.3888964288162</v></c><c r="S79" s="186"><f>Y62</f><v>0</v></c><c r="T79" s="186"><f>Z62</f><v>0</v></c><c r="U79" s="186"><f>$C$49+$C$50+$C$51</f><v>0</v></c><c r="V79" s="53"><f>S79-T79-U79</f><v>0</v></c><c r="W79" s="186"><f>$D$49+$D$50+$D$51</f><v>0</v></c><c r="X79" s="186"><f>$E$49+$E$50+$E$51</f><v>0</v></c><c r="Y79" s="53"><f>I79+R79+V79-W79-X79</f><v>55323.157283692955</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 t="str"><f t="shared" ref="C86:P86" si="23">IF(C69&gt;0,C59/C69,"-")</f><v>-</v></c><c r="D86" s="188"><f t="shared" si="23"/><v>0.42750000000000005</v></c><c r="E86" s="188" t="str"><f t="shared" si="23"/><v>-</v></c><c r="F86" s="188" t="str"><f t="shared" si="23"/><v>-</v></c><c r="G86" s="188" t="str"><f t="shared" si="23"/><v>-</v></c><c r="H86" s="188" t="str"><f t="shared" si="23"/><v>-</v></c><c r="I86" s="67"><f t="shared" si="23"/><v>0.42750000000000005</v></c><c r="J86" s="188" t="str"><f t="shared" si="23"/><v>-</v></c><c r="K86" s="188"><f t="shared" si="23"/><v>1</v></c><c r="L86" s="188"><f t="shared" si="23"/><v>1</v></c><c r="M86" s="188" t="str"><f t="shared" si="23"/><v>-</v></c><c r="N86" s="188" t="str"><f t="shared" si="23"/><v>-</v></c><c r="O86" s="188" t="str"><f t="shared" si="23"/><v>-</v></c><c r="P86" s="188" t="str"><f t="shared" si="23"/><v>-</v></c><c r="Q86" s="188" t="s"><v>522</v></c><c r="R86" s="67"><f t="shared" ref="R86:S88" si="24">IF(R69&gt;0,R59/R69,"-")</f><v>1.8522727272727271</v></c><c r="S86" s="67"><f t="shared" si="24"/><v>0.76948836696282275</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1154.8928315867913</v></c><c r="D95" s="64"><f>SUM(D96:D104)</f><v>0</v></c><c r="E95" s="64"><f>SUM(E96:E104)</f><v>0</v></c><c r="F95" s="64"><f t="shared" ref="F95:F126" si="27">SUM(C95:E95)</f><v>1154.8928315867913</v></c><c r="G95" s="64"><f t="shared" ref="G95:L95" si="28">SUM(G96:G104)</f><v>0</v></c><c r="H95" s="64"><f t="shared" si="28"/><v>0</v></c><c r="I95" s="64"><f t="shared" si="28"/><v>0</v></c><c r="J95" s="64"><f t="shared" si="28"/><v>916.05122096825755</v></c><c r="K95" s="64"><f t="shared" si="28"/><v>0</v></c><c r="L95" s="64"><f t="shared" si="28"/><v>0</v></c><c r="M95" s="64"><f t="shared" ref="M95:M126" si="29">SUM(G95:L95)</f><v>916.05122096825755</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2070.944052555049</v></c></row><row r="96" spans="1:32" s="21" customFormat="1" ht="15.75" x14ac:dyDescent="0.25"><c r="A96" s="22"/><c r="B96" s="182" t="str"><f>Translation!A61</f><v>Água quente</v></c><c r="C96" s="185"><f t="shared" ref="C96:C104" si="33">IF(AND(C$48&gt;0,($S$133+$V$143)&gt;0), ($S$133+$V$143)/C$48,0)*C18</f><v>1222.9789672296586</v></c><c r="D96" s="185"><f t="shared" ref="D96:D104" si="34">IF(AND(D$48&gt;0,$S$134&gt;0), ($S$134)/D$48,0)*D18</f><v>0</v></c><c r="E96" s="185"><f t="shared" ref="E96:E104" si="35">IF(AND(E$48&gt;0,$S$135&gt;0), ($S$135)/E$48,0)*E18</f><v>0</v></c><c r="F96" s="64"><f t="shared" si="27"/><v>1222.9789672296586</v></c><c r="G96" s="185"><f>'CO2 factors'!C$7*G18</f><v>0</v></c><c r="H96" s="185"><f>'CO2 factors'!D$7*H18</f><v>0</v></c><c r="I96" s="185"><f>'CO2 factors'!E$7*I18</f><v>0</v></c><c r="J96" s="185"><f>'CO2 factors'!F$7*J18</f><v>916.05122096825755</v></c><c r="K96" s="185"><f>'CO2 factors'!G$7*K18</f><v>0</v></c><c r="L96" s="185"><f>'CO2 factors'!H$7*L18</f><v>0</v></c><c r="M96" s="64"><f t="shared" si="29"/><v>916.05122096825755</v></c><c r="N96" s="185"><f>'CO2 factors'!J$7*N18</f><v>0</v></c><c r="O96" s="185"><f>'CO2 factors'!K$7*O18</f><v>0</v></c><c r="P96" s="185"><f>'CO2 factors'!L$7*P18</f><v>0</v></c><c r="Q96" s="185"><f>'CO2 factors'!M$7*Q18</f><v>0</v></c><c r="R96" s="185"><f>'CO2 factors'!N$7*R18</f><v>0</v></c><c r="S96" s="185"><f>'CO2 factors'!O$7*S18</f><v>0</v></c><c r="T96" s="64"><f t="shared" si="31"/><v>0</v></c><c r="U96" s="64"><f t="shared" si="32"/><v>2139.0301881979162</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-34.212436318057705</v></c><c r="D98" s="185"><f t="shared" si="34"/><v>0</v></c><c r="E98" s="185"><f t="shared" si="35"/><v>0</v></c><c r="F98" s="64"><f t="shared" si="27"/><v>-34.212436318057705</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-34.212436318057705</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-33.873699324809614</v></c><c r="D100" s="185"><f t="shared" si="34"/><v>0</v></c><c r="E100" s="185"><f t="shared" si="35"/><v>0</v></c><c r="F100" s="64"><f t="shared" si="27"/><v>-33.873699324809614</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-33.873699324809614</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51.612039533091981</v></c><c r="D105" s="64"><f>SUM(D106:D107)</f><v>0</v></c><c r="E105" s="64"><f>SUM(E106:E107)</f><v>0</v></c><c r="F105" s="64"><f t="shared" si="27"/><v>51.612039533091981</v></c><c r="G105" s="64"><f t="shared" ref="G105:L105" si="36">SUM(G106:G107)</f><v>0</v></c><c r="H105" s="64"><f t="shared" si="36"/><v>2562.6155723482125</v></c><c r="I105" s="64"><f t="shared" si="36"/><v>0</v></c><c r="J105" s="64"><f t="shared" si="36"/><v>0</v></c><c r="K105" s="64"><f t="shared" si="36"/><v>0</v></c><c r="L105" s="64"><f t="shared" si="36"/><v>0</v></c><c r="M105" s="64"><f t="shared" si="29"/><v>2562.6155723482125</v></c><c r="N105" s="64"><f t="shared" ref="N105:S105" si="37">SUM(N106:N107)</f><v>0</v></c><c r="O105" s="64"><f t="shared" si="37"/><v>0</v></c><c r="P105" s="64"><f t="shared" si="37"/><v>0</v></c><c r="Q105" s="64"><f t="shared" si="37"/><v>0</v></c><c r="R105" s="64"><f t="shared" si="37"/><v>0</v></c><c r="S105" s="64"><f t="shared" si="37"/><v>0</v></c><c r="T105" s="64"><f t="shared" si="31"/><v>0</v></c><c r="U105" s="64"><f t="shared" si="32"/><v>2614.2276118813043</v></c></row><row r="106" spans="1:21" s="21" customFormat="1" ht="15.75" x14ac:dyDescent="0.25"><c r="A106" s="22"/><c r="B106" s="183" t="str"><f>Translation!A71</f><v>Agricultura, produção animal, caça, floresta e pesca</v></c><c r="C106" s="185"><f>IF(AND(C$48&gt;0,($S$133+$V$143)&gt;0), ($S$133+$V$143)/C$48,0)*C28</f><v>51.612039533091981</v></c><c r="D106" s="185"><f>IF(AND(D$48&gt;0,$S$134&gt;0), ($S$134)/D$48,0)*D28</f><v>0</v></c><c r="E106" s="185"><f>IF(AND(E$48&gt;0,$S$135&gt;0), ($S$135)/E$48,0)*E28</f><v>0</v></c><c r="F106" s="64"><f t="shared" si="27"/><v>51.612039533091981</v></c><c r="G106" s="185"><f>'CO2 factors'!C$7*G28</f><v>0</v></c><c r="H106" s="185"><f>'CO2 factors'!D$7*H28</f><v>2562.6155723482125</v></c><c r="I106" s="185"><f>'CO2 factors'!E$7*I28</f><v>0</v></c><c r="J106" s="185"><f>'CO2 factors'!F$7*J28</f><v>0</v></c><c r="K106" s="185"><f>'CO2 factors'!G$7*K28</f><v>0</v></c><c r="L106" s="185"><f>'CO2 factors'!H$7*L28</f><v>0</v></c><c r="M106" s="64"><f t="shared" si="29"/><v>2562.6155723482125</v></c><c r="N106" s="185"><f>'CO2 factors'!J$7*N28</f><v>0</v></c><c r="O106" s="185"><f>'CO2 factors'!K$7*O28</f><v>0</v></c><c r="P106" s="185"><f>'CO2 factors'!L$7*P28</f><v>0</v></c><c r="Q106" s="185"><f>'CO2 factors'!M$7*Q28</f><v>0</v></c><c r="R106" s="185"><f>'CO2 factors'!N$7*R28</f><v>0</v></c><c r="S106" s="185"><f>'CO2 factors'!O$7*S28</f><v>0</v></c><c r="T106" s="64"><f t="shared" si="31"/><v>0</v></c><c r="U106" s="64"><f t="shared" si="32"/><v>2614.2276118813043</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765.11253542452027</v></c><c r="D108" s="64"><f>SUM(D109:D111)</f><v>0</v></c><c r="E108" s="64"><f>SUM(E109:E111)</f><v>0</v></c><c r="F108" s="64"><f t="shared" si="27"/><v>765.11253542452027</v></c><c r="G108" s="64"><f t="shared" ref="G108:L108" si="38">SUM(G109:G111)</f><v>0</v></c><c r="H108" s="64"><f t="shared" si="38"/><v>0</v></c><c r="I108" s="64"><f t="shared" si="38"/><v>0</v></c><c r="J108" s="64"><f t="shared" si="38"/><v>0</v></c><c r="K108" s="64"><f t="shared" si="38"/><v>0</v></c><c r="L108" s="64"><f t="shared" si="38"/><v>0</v></c><c r="M108" s="64"><f t="shared" si="29"/><v>0</v></c><c r="N108" s="64"><f t="shared" ref="N108:S108" si="39">SUM(N109:N111)</f><v>0</v></c><c r="O108" s="64"><f t="shared" si="39"/><v>0</v></c><c r="P108" s="64"><f t="shared" si="39"/><v>0</v></c><c r="Q108" s="64"><f t="shared" si="39"/><v>0</v></c><c r="R108" s="64"><f t="shared" si="39"/><v>0</v></c><c r="S108" s="64"><f t="shared" si="39"/><v>0</v></c><c r="T108" s="64"><f t="shared" si="31"/><v>0</v></c><c r="U108" s="64"><f t="shared" si="32"/><v>765.11253542452027</v></c></row><row r="109" spans="1:21" s="21" customFormat="1" ht="15.75" x14ac:dyDescent="0.25"><c r="A109" s="22"/><c r="B109" s="183" t="str"><f>Translation!A74</f><v>Indústrias transformadoras</v></c><c r="C109" s="185"><f>IF(AND(C$48&gt;0,($S$133+$V$143)&gt;0), ($S$133+$V$143)/C$48,0)*C31</f><v>638.29719099513193</v></c><c r="D109" s="185"><f>IF(AND(D$48&gt;0,$S$134&gt;0), ($S$134)/D$48,0)*D31</f><v>0</v></c><c r="E109" s="185"><f>IF(AND(E$48&gt;0,$S$135&gt;0), ($S$135)/E$48,0)*E31</f><v>0</v></c><c r="F109" s="64"><f t="shared" si="27"/><v>638.29719099513193</v></c><c r="G109" s="185"><f>'CO2 factors'!C$7*G31</f><v>0</v></c><c r="H109" s="185"><f>'CO2 factors'!D$7*H31</f><v>0</v></c><c r="I109" s="185"><f>'CO2 factors'!E$7*I31</f><v>0</v></c><c r="J109" s="185"><f>'CO2 factors'!F$7*J31</f><v>0</v></c><c r="K109" s="185"><f>'CO2 factors'!G$7*K31</f><v>0</v></c><c r="L109" s="185"><f>'CO2 factors'!H$7*L31</f><v>0</v></c><c r="M109" s="64"><f t="shared" si="29"/><v>0</v></c><c r="N109" s="185"><f>'CO2 factors'!J$7*N31</f><v>0</v></c><c r="O109" s="185"><f>'CO2 factors'!K$7*O31</f><v>0</v></c><c r="P109" s="185"><f>'CO2 factors'!L$7*P31</f><v>0</v></c><c r="Q109" s="185"><f>'CO2 factors'!M$7*Q31</f><v>0</v></c><c r="R109" s="185"><f>'CO2 factors'!N$7*R31</f><v>0</v></c><c r="S109" s="185"><f>'CO2 factors'!O$7*S31</f><v>0</v></c><c r="T109" s="64"><f t="shared" si="31"/><v>0</v></c><c r="U109" s="64"><f t="shared" si="32"/><v>638.29719099513193</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126.81534442938833</v></c><c r="D111" s="185"><f>IF(AND(D$48&gt;0,$S$134&gt;0), ($S$134)/D$48,0)*D33</f><v>0</v></c><c r="E111" s="185"><f>IF(AND(E$48&gt;0,$S$135&gt;0), ($S$135)/E$48,0)*E33</f><v>0</v></c><c r="F111" s="64"><f t="shared" si="27"/><v>126.81534442938833</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126.81534442938833</v></c></row><row r="112" spans="1:21" s="21" customFormat="1" ht="15.75" x14ac:dyDescent="0.25"><c r="A112" s="22"/><c r="B112" s="61" t="str"><f>Translation!A77</f><v>SECTOR TERCIÁRIO</v></c><c r="C112" s="64"><f>SUM(C113:C120)</f><v>1841.6091304865354</v></c><c r="D112" s="64"><f>SUM(D113:D120)</f><v>0</v></c><c r="E112" s="64"><f>SUM(E113:E120)</f><v>0</v></c><c r="F112" s="64"><f t="shared" si="27"/><v>1841.6091304865354</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1841.6091304865354</v></c></row><row r="113" spans="1:23" s="21" customFormat="1" ht="30" x14ac:dyDescent="0.25"><c r="A113" s="22"/><c r="B113" s="183" t="str"><f>Translation!A78</f><v>Comércio por grosso e a retalho; reparação de veículos automóveis e motociclos</v></c><c r="C113" s="185"><f t="shared" ref="C113:C120" si="42">IF(AND(C$48&gt;0,($S$133+$V$143)&gt;0), ($S$133+$V$143)/C$48,0)*C35</f><v>352.47392877053926</v></c><c r="D113" s="185"><f t="shared" ref="D113:D120" si="43">IF(AND(D$48&gt;0,$S$134&gt;0), ($S$134)/D$48,0)*D35</f><v>0</v></c><c r="E113" s="185"><f t="shared" ref="E113:E120" si="44">IF(AND(E$48&gt;0,$S$135&gt;0), ($S$135)/E$48,0)*E35</f><v>0</v></c><c r="F113" s="64"><f t="shared" si="27"/><v>352.47392877053926</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352.47392877053926</v></c></row><row r="114" spans="1:23" s="21" customFormat="1" ht="15.75" x14ac:dyDescent="0.25"><c r="A114" s="22"/><c r="B114" s="183" t="str"><f>Translation!A79</f><v>Alojamento, restauração e similares</v></c><c r="C114" s="185"><f t="shared" si="42"/><v>170.99902646079337</v></c><c r="D114" s="185"><f t="shared" si="43"/><v>0</v></c><c r="E114" s="185"><f t="shared" si="44"/><v>0</v></c><c r="F114" s="64"><f t="shared" si="27"/><v>170.99902646079337</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170.99902646079337</v></c></row><row r="115" spans="1:23" s="21" customFormat="1" ht="15.75" x14ac:dyDescent="0.25"><c r="A115" s="22"/><c r="B115" s="183" t="str"><f>Translation!A80</f><v>Administração pública e segurança social</v></c><c r="C115" s="185"><f t="shared" si="42"/><v>553.26395248382551</v></c><c r="D115" s="185"><f t="shared" si="43"/><v>0</v></c><c r="E115" s="185"><f t="shared" si="44"/><v>0</v></c><c r="F115" s="64"><f t="shared" si="27"/><v>553.26395248382551</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553.26395248382551</v></c></row><row r="116" spans="1:23" s="21" customFormat="1" ht="15.75" x14ac:dyDescent="0.25"><c r="A116" s="22"/><c r="B116" s="183" t="str"><f>Translation!A81</f><v>Defesa, justiça, polícia e bombeiros</v></c><c r="C116" s="185"><f t="shared" si="42"/><v>56.607941657296045</v></c><c r="D116" s="185"><f t="shared" si="43"/><v>0</v></c><c r="E116" s="185"><f t="shared" si="44"/><v>0</v></c><c r="F116" s="64"><f t="shared" si="27"/><v>56.607941657296045</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56.607941657296045</v></c></row><row r="117" spans="1:23" s="21" customFormat="1" ht="15.75" x14ac:dyDescent="0.25"><c r="A117" s="22"/><c r="B117" s="183" t="str"><f>Translation!A82</f><v>Educação</v></c><c r="C117" s="185"><f t="shared" si="42"/><v>56.337573216597001</v></c><c r="D117" s="185"><f t="shared" si="43"/><v>0</v></c><c r="E117" s="185"><f t="shared" si="44"/><v>0</v></c><c r="F117" s="64"><f t="shared" si="27"/><v>56.337573216597001</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56.337573216597001</v></c></row><row r="118" spans="1:23" s="21" customFormat="1" ht="15.75" x14ac:dyDescent="0.25"><c r="A118" s="22"/><c r="B118" s="183" t="str"><f>Translation!A83</f><v>Actividades de saúde humana e apoio social</v></c><c r="C118" s="185"><f t="shared" si="42"/><v>127.77252016182905</v></c><c r="D118" s="185"><f t="shared" si="43"/><v>0</v></c><c r="E118" s="185"><f t="shared" si="44"/><v>0</v></c><c r="F118" s="64"><f t="shared" si="27"/><v>127.77252016182905</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127.77252016182905</v></c></row><row r="119" spans="1:23" s="21" customFormat="1" ht="15.75" x14ac:dyDescent="0.25"><c r="A119" s="22"/><c r="B119" s="183" t="str"><f>Translation!A84</f><v>Outros serviços</v></c><c r="C119" s="185"><f t="shared" si="42"/><v>296.15438011665555</v></c><c r="D119" s="185"><f t="shared" si="43"/><v>0</v></c><c r="E119" s="185"><f t="shared" si="44"/><v>0</v></c><c r="F119" s="64"><f t="shared" si="27"/><v>296.15438011665555</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296.15438011665555</v></c></row><row r="120" spans="1:23" s="21" customFormat="1" ht="15.75" x14ac:dyDescent="0.25"><c r="A120" s="22"/><c r="B120" s="183" t="str"><f>Translation!A85</f><v>Iluminação pública</v></c><c r="C120" s="185"><f t="shared" si="42"/><v>227.99980761899931</v></c><c r="D120" s="185"><f t="shared" si="43"/><v>0</v></c><c r="E120" s="185"><f t="shared" si="44"/><v>0</v></c><c r="F120" s="64"><f t="shared" si="27"/><v>227.99980761899931</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227.99980761899931</v></c></row><row r="121" spans="1:23" s="21" customFormat="1" ht="15.75" x14ac:dyDescent="0.25"><c r="A121" s="22"/><c r="B121" s="61" t="str"><f>Translation!A86</f><v>TRANSPORTES</v></c><c r="C121" s="64"><f>SUM(C122:C125)</f><v>96.802034326386433</v></c><c r="D121" s="64"><f>SUM(D122:D125)</f><v>0</v></c><c r="E121" s="64"><f>SUM(E122:E125)</f><v>0</v></c><c r="F121" s="64"><f t="shared" si="27"/><v>96.802034326386433</v></c><c r="G121" s="64"><f t="shared" ref="G121:L121" si="45">SUM(G122:G125)</f><v>0</v></c><c r="H121" s="64"><f t="shared" si="45"/><v>4030.4245001406066</v></c><c r="I121" s="64"><f t="shared" si="45"/><v>1600.4605862334154</v></c><c r="J121" s="64"><f t="shared" si="45"/><v>0</v></c><c r="K121" s="64"><f t="shared" si="45"/><v>0</v></c><c r="L121" s="64"><f t="shared" si="45"/><v>0</v></c><c r="M121" s="64"><f t="shared" si="29"/><v>5630.8850863740217</v></c><c r="N121" s="64"><f t="shared" ref="N121:S121" si="46">SUM(N122:N125)</f><v>0</v></c><c r="O121" s="64"><f t="shared" si="46"/><v>0</v></c><c r="P121" s="64"><f t="shared" si="46"/><v>0</v></c><c r="Q121" s="64"><f t="shared" si="46"/><v>0</v></c><c r="R121" s="64"><f t="shared" si="46"/><v>0</v></c><c r="S121" s="64"><f t="shared" si="46"/><v>0</v></c><c r="T121" s="64"><f t="shared" si="31"/><v>0</v></c><c r="U121" s="64"><f t="shared" si="32"/><v>5727.6871207004078</v></c></row><row r="122" spans="1:23" s="21" customFormat="1" ht="30" x14ac:dyDescent="0.25"><c r="A122" s="22"/><c r="B122" s="183" t="str"><f>Translation!A87</f><v>Transporte de passageiros por estrada (transportes públicos, táxis, turismo, transporte escolar, etc.)</v></c><c r="C122" s="185"><f>IF(AND(C$48&gt;0,($S$133+$V$143)&gt;0), ($S$133+$V$143)/C$48,0)*C44</f><v>89.501398879680238</v></c><c r="D122" s="185"><f>IF(AND(D$48&gt;0,$S$134&gt;0), ($S$134)/D$48,0)*D44</f><v>0</v></c><c r="E122" s="185"><f>IF(AND(E$48&gt;0,$S$135&gt;0), ($S$135)/E$48,0)*E44</f><v>0</v></c><c r="F122" s="64"><f t="shared" si="27"/><v>89.501398879680238</v></c><c r="G122" s="185"><f>'CO2 factors'!C$7*G44</f><v>0</v></c><c r="H122" s="185"><f>'CO2 factors'!D$7*H44</f><v>4030.4245001406066</v></c><c r="I122" s="185"><f>'CO2 factors'!E$7*I44</f><v>1600.4605862334154</v></c><c r="J122" s="185"><f>'CO2 factors'!F$7*J44</f><v>0</v></c><c r="K122" s="185"><f>'CO2 factors'!G$7*K44</f><v>0</v></c><c r="L122" s="185"><f>'CO2 factors'!H$7*L44</f><v>0</v></c><c r="M122" s="64"><f t="shared" si="29"/><v>5630.8850863740217</v></c><c r="N122" s="185"><f>'CO2 factors'!J$7*N44</f><v>0</v></c><c r="O122" s="185"><f>'CO2 factors'!K$7*O44</f><v>0</v></c><c r="P122" s="185"><f>'CO2 factors'!L$7*P44</f><v>0</v></c><c r="Q122" s="185"><f>'CO2 factors'!M$7*Q44</f><v>0</v></c><c r="R122" s="185"><f>'CO2 factors'!N$7*R44</f><v>0</v></c><c r="S122" s="185"><f>'CO2 factors'!O$7*S44</f><v>0</v></c><c r="T122" s="64"><f t="shared" si="31"/><v>0</v></c><c r="U122" s="64"><f t="shared" si="32"/><v>5720.3864852537017</v></c></row><row r="123" spans="1:23" s="21" customFormat="1" ht="30" x14ac:dyDescent="0.25"><c r="A123" s="22"/><c r="B123" s="183" t="str"><f>Translation!A88</f><v>Transporte de mercadorias por estrada e serviços de mudanças</v></c><c r="C123" s="185"><f>IF(AND(C$48&gt;0,($S$133+$V$143)&gt;0), ($S$133+$V$143)/C$48,0)*C45</f><v>1.0317534888904996</v></c><c r="D123" s="185"><f>IF(AND(D$48&gt;0,$S$134&gt;0), ($S$134)/D$48,0)*D45</f><v>0</v></c><c r="E123" s="185"><f>IF(AND(E$48&gt;0,$S$135&gt;0), ($S$135)/E$48,0)*E45</f><v>0</v></c><c r="F123" s="64"><f t="shared" si="27"/><v>1.0317534888904996</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1.0317534888904996</v></c></row><row r="124" spans="1:23" s="21" customFormat="1" ht="15.75" x14ac:dyDescent="0.25"><c r="A124" s="22"/><c r="B124" s="183" t="str"><f>Translation!A89</f><v>Outras frotas de serviços públicos e privados</v></c><c r="C124" s="185"><f>IF(AND(C$48&gt;0,($S$133+$V$143)&gt;0), ($S$133+$V$143)/C$48,0)*C46</f><v>2.314915264630899</v></c><c r="D124" s="185"><f>IF(AND(D$48&gt;0,$S$134&gt;0), ($S$134)/D$48,0)*D46</f><v>0</v></c><c r="E124" s="185"><f>IF(AND(E$48&gt;0,$S$135&gt;0), ($S$135)/E$48,0)*E46</f><v>0</v></c><c r="F124" s="64"><f t="shared" si="27"/><v>2.314915264630899</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2.314915264630899</v></c></row><row r="125" spans="1:23" s="21" customFormat="1" ht="15.75" x14ac:dyDescent="0.25"><c r="A125" s="22"/><c r="B125" s="182" t="str"><f>Translation!A90</f><v>Transporte particular</v></c><c r="C125" s="185"><f>IF(AND(C$48&gt;0,($S$133+$V$143)&gt;0), ($S$133+$V$143)/C$48,0)*C47</f><v>3.9539666931847943</v></c><c r="D125" s="185"><f>IF(AND(D$48&gt;0,$S$134&gt;0), ($S$134)/D$48,0)*D47</f><v>0</v></c><c r="E125" s="185"><f>IF(AND(E$48&gt;0,$S$135&gt;0), ($S$135)/E$48,0)*E47</f><v>0</v></c><c r="F125" s="64"><f t="shared" si="27"/><v>3.9539666931847943</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3.9539666931847943</v></c></row><row r="126" spans="1:23" s="21" customFormat="1" ht="15.75" x14ac:dyDescent="0.25"><c r="A126" s="22"/><c r="B126" s="73" t="str"><f>Translation!A118</f><v>TOTAL PARA MERCADO INTERNO</v></c><c r="C126" s="65"><f>C95+C105+C108+C112+C121</f><v>3910.0285713573253</v></c><c r="D126" s="65"><f>D95+D105+D108+D112+D121</f><v>0</v></c><c r="E126" s="65"><f>E95+E105+E108+E112+E121</f><v>0</v></c><c r="F126" s="64"><f t="shared" si="27"/><v>3910.0285713573253</v></c><c r="G126" s="65"><f t="shared" ref="G126:L126" si="47">G95+G105+G108+G112+G121</f><v>0</v></c><c r="H126" s="65"><f t="shared" si="47"/><v>6593.0400724888186</v></c><c r="I126" s="65"><f t="shared" si="47"/><v>1600.4605862334154</v></c><c r="J126" s="65"><f t="shared" si="47"/><v>916.05122096825755</v></c><c r="K126" s="65"><f t="shared" si="47"/><v>0</v></c><c r="L126" s="65"><f t="shared" si="47"/><v>0</v></c><c r="M126" s="64"><f t="shared" si="29"/><v>9109.5518796904926</v></c><c r="N126" s="65"><f t="shared" ref="N126:S126" si="48">N95+N105+N108+N112+N121</f><v>0</v></c><c r="O126" s="65"><f t="shared" si="48"/><v>0</v></c><c r="P126" s="65"><f t="shared" si="48"/><v>0</v></c><c r="Q126" s="65"><f t="shared" si="48"/><v>0</v></c><c r="R126" s="65"><f t="shared" si="48"/><v>0</v></c><c r="S126" s="65"><f t="shared" si="48"/><v>0</v></c><c r="T126" s="64"><f t="shared" si="31"/><v>0</v></c><c r="U126" s="64"><f t="shared" si="32"/><v>13019.580451047817</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0</v></c><c r="D133" s="189"><f>'CO2 factors'!D$7*D69</f><v>3910.0285713573257</v></c><c r="E133" s="189"><f>'CO2 factors'!E$7*E69</f><v>0</v></c><c r="F133" s="189"><f>'CO2 factors'!F$7*F69</f><v>0</v></c><c r="G133" s="189"><f>'CO2 factors'!G$7*G69</f><v>0</v></c><c r="H133" s="189"><f>'CO2 factors'!H$7*H69</f><v>0</v></c><c r="I133" s="59"><f>SUM(C133:H133)</f><v>3910.0285713573257</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3910.0285713573257</v></c><c r="T133" s="58"/><c r="U133" s="294" t="str"><f>Translation!A124</f><v>Electricidade</v></c><c r="V133" s="295"/><c r="W133" s="190"><f>IF(S59&gt;0,S133/S59,0)</f><v>0.26369723961707098</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3910.0285713573257</v></c><c r="E136" s="53"><f t="shared" si="49"/><v>0</v></c><c r="F136" s="53"><f t="shared" si="49"/><v>0</v></c><c r="G136" s="53"><f t="shared" si="49"/><v>0</v></c><c r="H136" s="53"><f t="shared" si="49"/><v>0</v></c><c r="I136" s="53"><f t="shared" si="49"/><v>3910.0285713573257</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3910.0285713573257</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9"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9"/><c r="AA142" s="291"/><c r="AB142" s="291"/></row><row r="143" spans="2:31" s="51" customFormat="1" ht="15.75" x14ac:dyDescent="0.25"><c r="B143" s="107" t="str"><f>Translation!A119</f><v>TOTAL</v></c><c r="C143" s="186"><f>'CO2 factors'!C$7*C79</f><v>0</v></c><c r="D143" s="186"><f>'CO2 factors'!D$7*D79</f><v>10503.068643846145</v></c><c r="E143" s="186"><f>'CO2 factors'!E$7*E79</f><v>1600.4605862334154</v></c><c r="F143" s="186"><f>'CO2 factors'!F$7*F79</f><v>916.05122096825755</v></c><c r="G143" s="186"><f>'CO2 factors'!G$7*G79</f><v>0</v></c><c r="H143" s="186"><f>'CO2 factors'!H$7*H79</f><v>0</v></c><c r="I143" s="53"><f>SUM(C143:H143)</f><v>13019.580451047819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13019.580451047819</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Translation!A156</f><v xml:space="preserve">Continue na próxima página dedicada ao Plano de Acção para a Energia Sustentável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7"/><sheetViews><sheetView showGridLines="0" showZeros="0" topLeftCell="A58" zoomScale="70" zoomScaleNormal="70" workbookViewID_"0"><selection activeCell="G24" sqref="G24"/></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0" t="str"><f>Translation!$A$31</f><v>Plano de Acção para a Energia Sustentável nas Ilhas (PAES)</v></c><c r="B1" s="250"/><c r="C1" s="250"/><c r="D1" s="250"/><c r="E1" s="250"/><c r="F1" s="250"/><c r="G1" s="250"/><c r="H1" s="250"/><c r="I1" s="250"/><c r="J1" s="250"/><c r="K1" s="250"/><c r="L1" s="250"/><c r="M1" s="250"/></row><row r="2" spans="1:13" ht="28.5" customHeight="1" x14ac:dyDescent="0.25"><c r="A2" s="77"/><c r="B2" s="246" t="s"><v>1467</v></c><c r="C2" s="246"/><c r="D2" s="78" t="str"><f>Translation!$A$10</f><v>Ilha</v></c><c r="E2" s="79" t="str"><f>'Start here'!$B$5</f><v>Graciosa</v></c><c r="F2" s="80"/><c r="G2" s="80"/><c r="H2" s="81"/><c r="I2" s="81"/><c r="J2" s="81"/><c r="K2" s="81"/><c r="L2" s="81"/><c r="M2" s="81"/></row><row r="3" spans="1:13" ht="38.25" customHeight="1" x14ac:dyDescent="0.25"><c r="A3" s="22"/><c r="B3" s="23"/><c r="C3" s="24"/><c r="E3" s="25"/><c r="F3" s="25"/><c r="H3" s="26"/><c r="L3" s="27"/><c r="M3" s="27"/></row><row r="4" spans="1:13" ht="15.75" x14ac:dyDescent="0.25"><c r="A4" s="29"/><c r="B4" s="30"/><c r="L4" s="347" t="str"><f>Translation!$A$53</f><v>Campos obrigatórios</v></c><c r="M4" s="347"/></row><row r="5" spans="1:13" s="101" customFormat="1" ht="36" x14ac:dyDescent="0.25"><c r="A5" s="111" t="s"><v>0</v></c><c r="B5" s="332" t="str"><f>Translation!A157</f><v>TÍTULO DO PLANO DE ACÇÃO PARA A ENERGIA SUSTENTÁVEL</v></c><c r="C5" s="332"/><c r="D5" s="332"/><c r="E5" s="332"/><c r="F5" s="332"/><c r="G5" s="332"/><c r="H5" s="332"/><c r="I5" s="332"/><c r="J5" s="332"/><c r="K5" s="332"/><c r="L5" s="332"/><c r="M5" s="332"/></row><row r="6" spans="1:13" ht="34.5" customHeight="1" x14ac:dyDescent="0.25"><c r="A6" s="28"/><c r="B6" s="339" t="s"><v>1532</v></c><c r="C6" s="340"/><c r="D6" s="340"/><c r="E6" s="340"/><c r="F6" s="340"/><c r="G6" s="340"/><c r="H6" s="340"/><c r="I6" s="340"/><c r="J6" s="340"/><c r="K6" s="340"/><c r="L6" s="340"/><c r="M6" s="341"/></row><row r="7" spans="1:13" ht="15.75" customHeight="1" x14ac:dyDescent="0.25"><c r="A7" s="29"/><c r="B7" s="30"/></row><row r="8" spans="1:13" ht="21.75" customHeight="1" x14ac:dyDescent="0.25"><c r="A8" s="29"/><c r="E8" s="31"/><c r="F8" s="45" t="str"><f>Translation!A159</f><v>Entidade que aprova o plano</v></c><c r="G8" s="346" t="s"><v>1533</v></c><c r="H8" s="346"/><c r="I8" s="346"/><c r="J8" s="346"/><c r="L8" s="32" t="str"><f>Translation!A158</f><v>Data de aprovação formal</v></c><c r="M8" s="238"/></row><row r="9" spans="1:13" ht="15.75" x14ac:dyDescent="0.25"><c r="A9" s="29"/><c r="B9" s="30"/></row><row r="10" spans="1:13" s="101" customFormat="1" ht="36" customHeight="1" x14ac:dyDescent="0.25"><c r="A10" s="100" t="s"><v>4</v></c><c r="B10" s="331" t="str"><f>Translation!A160</f><v>ELEMENTOS PRINCIPAIS DO PLANO DE ACÇÃO PARA A ENERGIA SUSTENTÁVEL</v></c><c r="C10" s="331"/><c r="D10" s="331"/><c r="E10" s="331"/><c r="F10" s="331"/><c r="G10" s="331"/><c r="H10" s="331"/><c r="I10" s="331"/><c r="J10" s="331"/><c r="K10" s="331"/><c r="L10" s="331"/><c r="M10" s="331"/></row><row r="11" spans="1:13" s="33" customFormat="1" ht="68.25" customHeight="1" x14ac:dyDescent="0.25"><c r="B11" s="342" t="str"><f>Translation!A161</f><v>SECTORES E ÁREAS DE INTERVENÇÃO</v></c><c r="C11" s="342" t="str"><f>Translation!A162</f><v>ACÇÕES
(uma linha por acção - inserir linhas se necessário; excluir acções CELE)</v></c><c r="D11" s="342" t="str"><f>Translation!A163</f><v>RESPONSÁVEL PELA IMPLEMENTAÇÃO</v></c><c r="E11" s="344" t="str"><f>Translation!A164</f><v>CALENDÁRIO DE IMPLEMENTAÇÃO</v></c><c r="F11" s="345"/><c r="G11" s="342" t="str"><f>Translation!A167</f><v>INVESTIMENTO ESTIMADO [euro]</v></c><c r="H11" s="342" t="str"><f>Translation!A168</f><v>POUPANÇA DE ENERGIA ESPERADA [MWh/ano]</v></c><c r="I11" s="342" t="str"><f>Translation!A169</f><v>AUMENTO DE ENERGIA RENOVÁVEL ESPERADO [MWh/ano]</v></c><c r="J11" s="342" t="str"><f>Translation!A170</f><v>REDUÇÃO DE EMISSÕES DE CO2 ESPERADA [t/ano]</v></c><c r="K11" s="342" t="str"><f>Translation!A171</f><v>META DE POUPANÇA DE ENERGIA EM 2020 [MWh/ano]</v></c><c r="L11" s="342" t="str"><f>Translation!A172</f><v>META DE AUMENTO DE ENERGIA RENOVÁVEL EM 2020 [MWh/ano]</v></c><c r="M11" s="342" t="str"><f>Translation!A173</f><v>META DE REDUÇÃO DE EMISSÕES DE CO2 EM 2020 [t/ano]</v></c></row><row r="12" spans="1:13" s="33" customFormat="1" ht="31.5" customHeight="1" x14ac:dyDescent="0.25"><c r="B12" s="343"/><c r="C12" s="343"/><c r="D12" s="343"/><c r="E12" s="34" t="str"><f>Translation!A165</f><v>Ano de início</v></c><c r="F12" s="34" t="str"><f>Translation!A166</f><v>Ano de conclusão</v></c><c r="G12" s="343"/><c r="H12" s="343"/><c r="I12" s="343"/><c r="J12" s="343"/><c r="K12" s="343"/><c r="L12" s="343"/><c r="M12" s="343"/></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6" t="str"><f>Translation!A61</f><v>Água quente</v></c><c r="C14" s="240" t="s"><v>1520</v></c><c r="D14" s="240" t="s"><v>1513</v></c><c r="E14" s="241"><v>2013</v></c><c r="F14" s="242"><v>2020</v></c><c r="G14" s="243"><f>200*1885.7</f><v>377140</v></c><c r="H14" s="243"><f>200*1.6</f><v>320</v></c><c r="I14" s="243"><f>H14/0.7</f><v>457.14285714285717</v></c><c r="J14" s="243"><f>H14*'CO2 factors'!$F$9</f><v>76.8</v></c><c r="K14" s="328"><f>SUM(H14:H26)</f><v>1401.4147122000002</v></c><c r="L14" s="328"><f t="shared" ref="L14:M14" si="0">SUM(I14:I26)</f><v>457.14285714285717</v></c><c r="M14" s="333"><f t="shared" si="0"/><v>485.1951635442</v></c></row><row r="15" spans="1:13" s="239" customFormat="1" ht="15" x14ac:dyDescent="0.25"><c r="B15" s="337"/><c r="C15" s="240" t="s"><v>1514</v></c><c r="D15" s="240" t="s"><v>1513</v></c><c r="E15" s="241"><v>2012</v></c><c r="F15" s="242"><v>2020</v></c><c r="G15" s="243"><f>H15*530</f><v>260158.45</v></c><c r="H15" s="243"><f>5167*9.5%</f><v>490.86500000000001</v></c><c r="I15" s="243"/><c r="J15" s="243"><f>H15*'CO2 factors'!$F$9</f><v>117.80759999999999</v></c><c r="K15" s="329"/><c r="L15" s="329"/><c r="M15" s="334"/></row><row r="16" spans="1:13" s="239" customFormat="1" ht="15" x14ac:dyDescent="0.25"><c r="B16" s="338"/><c r="C16" s="240" t="s"><v>1515</v></c><c r="D16" s="240" t="s"><v>1513</v></c><c r="E16" s="241"><v>2013</v></c><c r="F16" s="242"><v>2020</v></c><c r="G16" s="243"><f>1691*25%*4*5</f><v>8455</v></c><c r="H16" s="243"><f>1691*25%*30%</f><v>126.82499999999999</v></c><c r="I16" s="243"/><c r="J16" s="243"><f>H16*'CO2 factors'!$F$9</f><v>30.437999999999995</v></c><c r="K16" s="329"/><c r="L16" s="329"/><c r="M16" s="334"/></row><row r="17" spans="2:13" s="33" customFormat="1" ht="30" x14ac:dyDescent="0.25"><c r="B17" s="35" t="str"><f>Translation!A62</f><v>Aquecimento e arrefecimento</v></c><c r="C17" s="240" t="s"><v>1516</v></c><c r="D17" s="240" t="s"><v>1513</v></c><c r="E17" s="241"><v>2012</v></c><c r="F17" s="242"><v>2020</v></c><c r="G17" s="243"><f>H17*12000</f><v>1493726.4</v></c><c r="H17" s="243"><f>4383*2.84%</f><v>124.4772</v></c><c r="I17" s="243"/><c r="J17" s="243"><f>H17*0.561</f><v>69.831709200000006</v></c><c r="K17" s="329"/><c r="L17" s="329"/><c r="M17" s="334"/></row><row r="18" spans="2:13" s="33" customFormat="1" ht="15" x14ac:dyDescent="0.25"><c r="B18" s="35" t="str"><f>Translation!A63</f><v>Iluminação</v></c><c r="C18" s="240" t="s"><v>1517</v></c><c r="D18" s="240" t="s"><v>1513</v></c><c r="E18" s="241"><v>2013</v></c><c r="F18" s="242"><v>2020</v></c><c r="G18" s="243"><f>1691*0.25*9*6</f><v>22828.5</v></c><c r="H18" s="243"><f>1691*0.25*9*40/1000000*2*365</f><v>111.09869999999999</v></c><c r="I18" s="243"/><c r="J18" s="243"><f>H18*0.561</f><v>62.326370700000005</v></c><c r="K18" s="329"/><c r="L18" s="329"/><c r="M18" s="334"/></row><row r="19" spans="2:13" s="33" customFormat="1" ht="15" x14ac:dyDescent="0.25"><c r="B19" s="35" t="str"><f>Translation!A64</f><v>Cozinha</v></c><c r="C19" s="240"/><c r="D19" s="240"/><c r="E19" s="241"/><c r="F19" s="242"/><c r="G19" s="243"/><c r="H19" s="243"/><c r="I19" s="243"/><c r="J19" s="243"/><c r="K19" s="329"/><c r="L19" s="329"/><c r="M19" s="334"/></row><row r="20" spans="2:13" s="33" customFormat="1" ht="15" x14ac:dyDescent="0.25"><c r="B20" s="35" t="str"><f>Translation!A65</f><v>Frigoríficos e congeladores</v></c><c r="C20" s="240" t="s"><v>1518</v></c><c r="D20" s="240" t="s"><v>1513</v></c><c r="E20" s="241"><v>2013</v></c><c r="F20" s="242"><v>2020</v></c><c r="G20" s="243"><f>1691*0.2*330</f><v>111606.00000000001</v></c><c r="H20" s="243"><f>1691*0.2*328.571/1000</f><v>111.12271220000002</v></c><c r="I20" s="243"/><c r="J20" s="243"><f>H20*0.561</f><v>62.33984154420002</v></c><c r="K20" s="329"/><c r="L20" s="329"/><c r="M20" s="334"/></row><row r="21" spans="2:13" s="33" customFormat="1" ht="15" x14ac:dyDescent="0.25"><c r="B21" s="35" t="str"><f>Translation!A66</f><v>Máquinas de lavar e secar roupa</v></c><c r="C21" s="240"/><c r="D21" s="240"/><c r="E21" s="241"/><c r="F21" s="242"/><c r="G21" s="243"/><c r="H21" s="243"/><c r="I21" s="243"/><c r="J21" s="243"/><c r="K21" s="329"/><c r="L21" s="329"/><c r="M21" s="334"/></row><row r="22" spans="2:13" s="33" customFormat="1" ht="15" x14ac:dyDescent="0.25"><c r="B22" s="35" t="str"><f>Translation!A67</f><v>Máquinas de lavar louça</v></c><c r="C22" s="240"/><c r="D22" s="240"/><c r="E22" s="241"/><c r="F22" s="242"/><c r="G22" s="243"/><c r="H22" s="243"/><c r="I22" s="243"/><c r="J22" s="243"/><c r="K22" s="329"/><c r="L22" s="329"/><c r="M22" s="334"/></row><row r="23" spans="2:13" s="33" customFormat="1" ht="30" x14ac:dyDescent="0.25"><c r="B23" s="35" t="str"><f>Translation!A68</f><v>Televisores</v></c><c r="C23" s="240" t="s"><v>1519</v></c><c r="D23" s="240" t="s"><v>1513</v></c><c r="E23" s="241"><v>2012</v></c><c r="F23" s="242"><v>2020</v></c><c r="G23" s="243"/><c r="H23" s="243"><f>4383*2.67%</f><v>117.02609999999999</v></c><c r="I23" s="243"/><c r="J23" s="243"><f>H23*0.561</f><v>65.651642100000004</v></c><c r="K23" s="329"/><c r="L23" s="329"/><c r="M23" s="334"/></row><row r="24" spans="2:13" s="33" customFormat="1" ht="15" x14ac:dyDescent="0.25"><c r="B24" s="35" t="str"><f>Translation!A69</f><v>Outros aparelhos eléctricos</v></c><c r="C24" s="218"/><c r="D24" s="218"/><c r="E24" s="219"/><c r="F24" s="220"/><c r="G24" s="221"/><c r="H24" s="221"/><c r="I24" s="221"/><c r="J24" s="221"/><c r="K24" s="329"/><c r="L24" s="329"/><c r="M24" s="334"/></row><row r="25" spans="2:13" s="33" customFormat="1" ht="15" x14ac:dyDescent="0.25"><c r="B25" s="35" t="str"><f>Translation!A59</f><v>Acções gerais</v></c><c r="C25" s="218"/><c r="D25" s="218"/><c r="E25" s="219"/><c r="F25" s="220"/><c r="G25" s="221"/><c r="H25" s="221"/><c r="I25" s="221"/><c r="J25" s="221"/><c r="K25" s="329"/><c r="L25" s="329"/><c r="M25" s="334"/></row><row r="26" spans="2:13" s="33" customFormat="1" ht="7.5" customHeight="1" x14ac:dyDescent="0.25"><c r="B26" s="35"/><c r="C26" s="16"/><c r="D26" s="16"/><c r="E26" s="17"/><c r="F26" s="18"/><c r="G26" s="19"/><c r="H26" s="19"/><c r="I26" s="19"/><c r="J26" s="19"/><c r="K26" s="330"/><c r="L26" s="330"/><c r="M26" s="335"/></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28"><f>SUM(H28:H31)</f><v>0</v></c><c r="L28" s="328"><f>SUM(I28:I31)</f><v>0</v></c><c r="M28" s="333"><f>SUM(J28:J31)</f><v>0</v></c></row><row r="29" spans="2:13" s="33" customFormat="1" ht="15" x14ac:dyDescent="0.25"><c r="B29" s="35" t="str"><f>Translation!A72</f><v>Indústrias extractivas</v></c><c r="C29" s="218"/><c r="D29" s="218"/><c r="E29" s="219"/><c r="F29" s="220"/><c r="G29" s="221"/><c r="H29" s="221"/><c r="I29" s="221"/><c r="J29" s="221"/><c r="K29" s="329"/><c r="L29" s="329"/><c r="M29" s="334"/></row><row r="30" spans="2:13" s="33" customFormat="1" ht="15" x14ac:dyDescent="0.25"><c r="B30" s="35" t="str"><f>Translation!A59</f><v>Acções gerais</v></c><c r="C30" s="218"/><c r="D30" s="218"/><c r="E30" s="219"/><c r="F30" s="220"/><c r="G30" s="221"/><c r="H30" s="221"/><c r="I30" s="221"/><c r="J30" s="221"/><c r="K30" s="329"/><c r="L30" s="329"/><c r="M30" s="334"/></row><row r="31" spans="2:13" s="33" customFormat="1" ht="7.5" customHeight="1" x14ac:dyDescent="0.25"><c r="B31" s="35"/><c r="C31" s="16"/><c r="D31" s="16"/><c r="E31" s="17"/><c r="F31" s="18"/><c r="G31" s="19"/><c r="H31" s="19"/><c r="I31" s="19"/><c r="J31" s="19"/><c r="K31" s="330"/><c r="L31" s="330"/><c r="M31" s="335"/></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28"><f>SUM(H33:H37)</f><v>0</v></c><c r="L33" s="328"><f t="shared" ref="L33:M33" si="1">SUM(I33:I37)</f><v>0</v></c><c r="M33" s="333"><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29"/><c r="L34" s="329"/><c r="M34" s="334"/></row><row r="35" spans="2:13" s="33" customFormat="1" ht="15" x14ac:dyDescent="0.25"><c r="B35" s="35" t="str"><f>Translation!A76</f><v>Construção</v></c><c r="C35" s="218"/><c r="D35" s="218"/><c r="E35" s="219"/><c r="F35" s="220"/><c r="G35" s="221"/><c r="H35" s="221"/><c r="I35" s="221"/><c r="J35" s="221"/><c r="K35" s="329"/><c r="L35" s="329"/><c r="M35" s="334"/></row><row r="36" spans="2:13" s="33" customFormat="1" ht="15" x14ac:dyDescent="0.25"><c r="B36" s="35" t="str"><f>Translation!A59</f><v>Acções gerais</v></c><c r="C36" s="218"/><c r="D36" s="218"/><c r="E36" s="219"/><c r="F36" s="220"/><c r="G36" s="221"/><c r="H36" s="221"/><c r="I36" s="221"/><c r="J36" s="221"/><c r="K36" s="329"/><c r="L36" s="329"/><c r="M36" s="334"/></row><row r="37" spans="2:13" s="33" customFormat="1" ht="7.5" customHeight="1" x14ac:dyDescent="0.25"><c r="B37" s="35"/><c r="C37" s="16"/><c r="D37" s="16"/><c r="E37" s="17"/><c r="F37" s="18"/><c r="G37" s="19"/><c r="H37" s="19"/><c r="I37" s="19"/><c r="J37" s="19"/><c r="K37" s="330"/><c r="L37" s="330"/><c r="M37" s="335"/></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28"><f>SUM(H39:H48)</f><v>408.79999999999995</v></c><c r="L39" s="328"><f t="shared" ref="L39:M39" si="2">SUM(I39:I48)</f><v>0</v></c><c r="M39" s="333"><f t="shared" si="2"/><v>229.33679999999998</v></c></row><row r="40" spans="2:13" s="33" customFormat="1" ht="15" x14ac:dyDescent="0.25"><c r="B40" s="35" t="str"><f>Translation!A79</f><v>Alojamento, restauração e similares</v></c><c r="C40" s="218"/><c r="D40" s="218"/><c r="E40" s="219"/><c r="F40" s="220"/><c r="G40" s="221"/><c r="H40" s="221"/><c r="I40" s="221"/><c r="J40" s="221"/><c r="K40" s="329"/><c r="L40" s="329"/><c r="M40" s="334"/></row><row r="41" spans="2:13" s="33" customFormat="1" ht="30" x14ac:dyDescent="0.25"><c r="B41" s="35" t="str"><f>Translation!A80</f><v>Administração pública e segurança social</v></c><c r="C41" s="218"/><c r="D41" s="218"/><c r="E41" s="219"/><c r="F41" s="220"/><c r="G41" s="221"/><c r="H41" s="221"/><c r="I41" s="221"/><c r="J41" s="221"/><c r="K41" s="329"/><c r="L41" s="329"/><c r="M41" s="334"/></row><row r="42" spans="2:13" s="33" customFormat="1" ht="15" x14ac:dyDescent="0.25"><c r="B42" s="35" t="str"><f>Translation!A81</f><v>Defesa, justiça, polícia e bombeiros</v></c><c r="C42" s="218"/><c r="D42" s="218"/><c r="E42" s="219"/><c r="F42" s="220"/><c r="G42" s="221"/><c r="H42" s="221"/><c r="I42" s="221"/><c r="J42" s="221"/><c r="K42" s="329"/><c r="L42" s="329"/><c r="M42" s="334"/></row><row r="43" spans="2:13" s="33" customFormat="1" ht="15" x14ac:dyDescent="0.25"><c r="B43" s="35" t="str"><f>Translation!A82</f><v>Educação</v></c><c r="C43" s="218"/><c r="D43" s="218"/><c r="E43" s="219"/><c r="F43" s="220"/><c r="G43" s="221"/><c r="H43" s="221"/><c r="I43" s="221"/><c r="J43" s="221"/><c r="K43" s="329"/><c r="L43" s="329"/><c r="M43" s="334"/></row><row r="44" spans="2:13" s="33" customFormat="1" ht="30" x14ac:dyDescent="0.25"><c r="B44" s="35" t="str"><f>Translation!A83</f><v>Actividades de saúde humana e apoio social</v></c><c r="C44" s="218"/><c r="D44" s="218"/><c r="E44" s="219"/><c r="F44" s="220"/><c r="G44" s="221"/><c r="H44" s="221"/><c r="I44" s="221"/><c r="J44" s="221"/><c r="K44" s="329"/><c r="L44" s="329"/><c r="M44" s="334"/></row><row r="45" spans="2:13" s="33" customFormat="1" ht="15" x14ac:dyDescent="0.25"><c r="B45" s="35" t="str"><f>Translation!A84</f><v>Outros serviços</v></c><c r="C45" s="218"/><c r="D45" s="218"/><c r="E45" s="219"/><c r="F45" s="220"/><c r="G45" s="221"/><c r="H45" s="221"/><c r="I45" s="221"/><c r="J45" s="221"/><c r="K45" s="329"/><c r="L45" s="329"/><c r="M45" s="334"/></row><row r="46" spans="2:13" s="33" customFormat="1" ht="30" x14ac:dyDescent="0.25"><c r="B46" s="35" t="str"><f>Translation!A85</f><v>Iluminação pública</v></c><c r="C46" s="240" t="s"><v>1521</v></c><c r="D46" s="240" t="s"><v>1522</v></c><c r="E46" s="241"><v>2012</v></c><c r="F46" s="242"><v>2012</v></c><c r="G46" s="243"/><c r="H46" s="243"><f>1168*0.35</f><v>408.79999999999995</v></c><c r="I46" s="243"/><c r="J46" s="243"><f>H46*0.561</f><v>229.33679999999998</v></c><c r="K46" s="329"/><c r="L46" s="329"/><c r="M46" s="334"/></row><row r="47" spans="2:13" s="33" customFormat="1" ht="15" x14ac:dyDescent="0.25"><c r="B47" s="35" t="str"><f>Translation!A59</f><v>Acções gerais</v></c><c r="C47" s="218"/><c r="D47" s="218"/><c r="E47" s="219"/><c r="F47" s="220"/><c r="G47" s="221"/><c r="H47" s="221"/><c r="I47" s="221"/><c r="J47" s="221"/><c r="K47" s="329"/><c r="L47" s="329"/><c r="M47" s="334"/></row><row r="48" spans="2:13" s="33" customFormat="1" ht="7.5" customHeight="1" x14ac:dyDescent="0.25"><c r="B48" s="35"/><c r="C48" s="16"/><c r="D48" s="16"/><c r="E48" s="17"/><c r="F48" s="18"/><c r="G48" s="19"/><c r="H48" s="19"/><c r="I48" s="19"/><c r="J48" s="19"/><c r="K48" s="330"/><c r="L48" s="330"/><c r="M48" s="335"/></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40" t="s"><v>1523</v></c><c r="D50" s="240" t="s"><v>1524</v></c><c r="E50" s="241"><v>2011</v></c><c r="F50" s="242"><v>2016</v></c><c r="G50" s="243"/><c r="H50" s="243"><f>14828*10%*8%*90%</f><v>106.76160000000003</v></c><c r="I50" s="243"/><c r="J50" s="243"><f>H50*'CO2 factors'!D9</f><v>28.50534720000001</v></c><c r="K50" s="328"><f>SUM(H50:H55)</f><v>325.9316</v></c><c r="L50" s="328"><f t="shared" ref="L50:M50" si="3">SUM(I50:I55)</f><v>0</v></c><c r="M50" s="333"><f t="shared" si="3"/><v>105.6153472</v></c></row><row r="51" spans="2:13" s="33" customFormat="1" ht="30" x14ac:dyDescent="0.25"><c r="B51" s="35" t="str"><f>Translation!A88</f><v>Transporte de mercadorias por estrada e serviços de mudanças</v></c><c r="C51" s="240"/><c r="D51" s="240"/><c r="E51" s="241"/><c r="F51" s="242" t="s"><v>1525</v></c><c r="G51" s="243"/><c r="H51" s="243"/><c r="I51" s="243"/><c r="J51" s="243"/><c r="K51" s="329"/><c r="L51" s="329"/><c r="M51" s="334"/></row><row r="52" spans="2:13" s="33" customFormat="1" ht="30" x14ac:dyDescent="0.25"><c r="B52" s="35" t="str"><f>Translation!A89</f><v>Outras frotas de serviços públicos e privados</v></c><c r="C52" s="240"/><c r="D52" s="240"/><c r="E52" s="241"/><c r="F52" s="242"/><c r="G52" s="243"/><c r="H52" s="243"/><c r="I52" s="243"/><c r="J52" s="243"/><c r="K52" s="329"/><c r="L52" s="329"/><c r="M52" s="334"/></row><row r="53" spans="2:13" s="33" customFormat="1" ht="15" x14ac:dyDescent="0.25"><c r="B53" s="35" t="str"><f>Translation!A90</f><v>Transporte particular</v></c><c r="C53" s="240" t="s"><v>1526</v></c><c r="D53" s="240" t="s"><v>1513</v></c><c r="E53" s="241"><v>2014</v></c><c r="F53" s="242"><v>2020</v></c><c r="G53" s="243"><f>100*5500</f><v>550000</v></c><c r="H53" s="243"><v>219.17</v></c><c r="I53" s="243"/><c r="J53" s="243"><v>77.11</v></c><c r="K53" s="329"/><c r="L53" s="329"/><c r="M53" s="334"/></row><row r="54" spans="2:13" s="33" customFormat="1" ht="15" x14ac:dyDescent="0.25"><c r="B54" s="35" t="str"><f>Translation!A59</f><v>Acções gerais</v></c><c r="C54" s="218"/><c r="D54" s="218"/><c r="E54" s="219"/><c r="F54" s="220"/><c r="G54" s="221"/><c r="H54" s="221"/><c r="I54" s="221"/><c r="J54" s="221"/><c r="K54" s="329"/><c r="L54" s="329"/><c r="M54" s="334"/></row><row r="55" spans="2:13" s="33" customFormat="1" ht="7.5" customHeight="1" x14ac:dyDescent="0.25"><c r="B55" s="35"/><c r="C55" s="16"/><c r="D55" s="16"/><c r="E55" s="17"/><c r="F55" s="18"/><c r="G55" s="19"/><c r="H55" s="19"/><c r="I55" s="19"/><c r="J55" s="19"/><c r="K55" s="330"/><c r="L55" s="330"/><c r="M55" s="335"/></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28"><f>SUM(H57:H71)</f><v>0</v></c><c r="L57" s="328"><f t="shared" ref="L57:M57" si="4">SUM(I57:I71)</f><v>13472.880000000001</v></c><c r="M57" s="333"><f t="shared" si="4"/><v>10700.059680000002</v></c></row><row r="58" spans="2:13" s="33" customFormat="1" ht="15" x14ac:dyDescent="0.25"><c r="B58" s="35" t="str"><f>Translation!$A$176</f><v>Calor (não renovável)</v></c><c r="C58" s="218"/><c r="D58" s="218"/><c r="E58" s="219"/><c r="F58" s="220"/><c r="G58" s="221"/><c r="H58" s="221"/><c r="I58" s="221"/><c r="J58" s="221"/><c r="K58" s="329"/><c r="L58" s="329"/><c r="M58" s="334"/></row><row r="59" spans="2:13" s="33" customFormat="1" ht="15" x14ac:dyDescent="0.25"><c r="B59" s="35" t="str"><f>Translation!$A$177</f><v>Frio (não renovável)</v></c><c r="C59" s="218"/><c r="D59" s="218"/><c r="E59" s="219"/><c r="F59" s="220"/><c r="G59" s="221"/><c r="H59" s="221"/><c r="I59" s="221"/><c r="J59" s="221"/><c r="K59" s="329"/><c r="L59" s="329"/><c r="M59" s="334"/></row><row r="60" spans="2:13" s="33" customFormat="1" ht="15" x14ac:dyDescent="0.25"><c r="B60" s="35" t="str"><f>Translation!$A$178</f><v>Hídrica</v></c><c r="C60" s="218"/><c r="D60" s="218"/><c r="E60" s="219"/><c r="F60" s="220"/><c r="G60" s="221"/><c r="H60" s="221"/><c r="I60" s="221"/><c r="J60" s="221"/><c r="K60" s="329"/><c r="L60" s="329"/><c r="M60" s="334"/></row><row r="61" spans="2:13" s="33" customFormat="1" ht="15" x14ac:dyDescent="0.25"><c r="B61" s="35" t="str"><f>Translation!$A$179</f><v>Eólica</v></c><c r="C61" s="240" t="s"><v>1528</v></c><c r="D61" s="240" t="s"><v>1527</v></c><c r="E61" s="241"><v>2012</v></c><c r="F61" s="242"><v>2013</v></c><c r="G61" s="243"><f>0.46*1200000</f><v>552000</v></c><c r="H61" s="243"/><c r="I61" s="243"><f>0.46*8760*0.3</f><v>1208.8800000000001</v></c><c r="J61" s="243"><f>I61*0.561</f><v>678.18168000000014</v></c><c r="K61" s="329"/><c r="L61" s="329"/><c r="M61" s="334"/></row><row r="62" spans="2:13" s="33" customFormat="1" ht="30" x14ac:dyDescent="0.25"><c r="B62" s="35" t="str"><f>Translation!$A$180</f><v>Solar</v></c><c r="C62" s="218" t="s"><v>1529</v></c><c r="D62" s="218" t="s"><v>1513</v></c><c r="E62" s="219"><v>2016</v></c><c r="F62" s="220"><v>2020</v></c><c r="G62" s="221"><f>200*10000</f><v>2000000</v></c><c r="H62" s="221"/><c r="I62" s="221"><f>0.4*8760*12.5%</f><v>438</v></c><c r="J62" s="243"><f>I62*0.561</f><v>245.71800000000002</v></c><c r="K62" s="329"/><c r="L62" s="329"/><c r="M62" s="334"/></row><row r="63" spans="2:13" s="33" customFormat="1" ht="15" x14ac:dyDescent="0.25"><c r="B63" s="35" t="str"><f>Translation!$A$181</f><v>Geotérmica</v></c><c r="C63" s="218"/><c r="D63" s="218"/><c r="E63" s="219"/><c r="F63" s="220"/><c r="G63" s="221"/><c r="H63" s="221"/><c r="I63" s="221"/><c r="J63" s="221"/><c r="K63" s="329"/><c r="L63" s="329"/><c r="M63" s="334"/></row><row r="64" spans="2:13" s="33" customFormat="1" ht="15" x14ac:dyDescent="0.25"><c r="B64" s="35" t="str"><f>Translation!$A$182</f><v>Oceânica</v></c><c r="C64" s="218"/><c r="D64" s="218"/><c r="E64" s="219"/><c r="F64" s="220"/><c r="G64" s="221"/><c r="H64" s="221"/><c r="I64" s="221"/><c r="J64" s="221"/><c r="K64" s="329"/><c r="L64" s="329"/><c r="M64" s="334"/></row><row r="65" spans="2:13" s="33" customFormat="1" ht="15" x14ac:dyDescent="0.25"><c r="B65" s="35" t="str"><f>Translation!$A$183</f><v>Biomassa</v></c><c r="C65" s="240" t="s"><v>1531</v></c><c r="D65" s="240" t="s"><v>1530</v></c><c r="E65" s="241"><v>2015</v></c><c r="F65" s="242"><v>2016</v></c><c r="G65" s="243"><f>1500000*1.5</f><v>2250000</v></c><c r="H65" s="243"/><c r="I65" s="243"><f>1.5*8760*90%</f><v>11826</v></c><c r="J65" s="243"><f>((1.5*8760*90%)/45%+(1.5*8760*60%)/90%)*'CO2 factors'!C7</f><v>9776.1600000000017</v></c><c r="K65" s="329"/><c r="L65" s="329"/><c r="M65" s="334"/></row><row r="66" spans="2:13" s="33" customFormat="1" ht="15" x14ac:dyDescent="0.25"><c r="B66" s="35" t="str"><f>Translation!$A$184</f><v>Resíduos urbanos</v></c><c r="C66" s="218"/><c r="D66" s="218"/><c r="E66" s="219"/><c r="F66" s="220"/><c r="G66" s="221"/><c r="H66" s="221"/><c r="I66" s="221"/><c r="J66" s="221"/><c r="K66" s="329"/><c r="L66" s="329"/><c r="M66" s="334"/></row><row r="67" spans="2:13" s="33" customFormat="1" ht="15" x14ac:dyDescent="0.25"><c r="B67" s="35" t="str"><f>Translation!$A$185</f><v>Armazenamento</v></c><c r="C67" s="218"/><c r="D67" s="218"/><c r="E67" s="219"/><c r="F67" s="220"/><c r="G67" s="221"/><c r="H67" s="221"/><c r="I67" s="221"/><c r="J67" s="221"/><c r="K67" s="329"/><c r="L67" s="329"/><c r="M67" s="334"/></row><row r="68" spans="2:13" s="33" customFormat="1" ht="15" x14ac:dyDescent="0.25"><c r="B68" s="35" t="str"><f>Translation!$A$186</f><v>Ligação externa</v></c><c r="C68" s="218"/><c r="D68" s="218"/><c r="E68" s="219"/><c r="F68" s="220"/><c r="G68" s="221"/><c r="H68" s="221"/><c r="I68" s="221"/><c r="J68" s="221"/><c r="K68" s="329"/><c r="L68" s="329"/><c r="M68" s="334"/></row><row r="69" spans="2:13" s="33" customFormat="1" ht="30" x14ac:dyDescent="0.25"><c r="B69" s="35" t="str"><f>Translation!$A$187</f><v>Perdas de distribuição e consumos próprios</v></c><c r="C69" s="218"/><c r="D69" s="218"/><c r="E69" s="219"/><c r="F69" s="220"/><c r="G69" s="221"/><c r="H69" s="221"/><c r="I69" s="221"/><c r="J69" s="221"/><c r="K69" s="329"/><c r="L69" s="329"/><c r="M69" s="334"/></row><row r="70" spans="2:13" s="33" customFormat="1" ht="15" x14ac:dyDescent="0.25"><c r="B70" s="35" t="str"><f>Translation!A59</f><v>Acções gerais</v></c><c r="C70" s="218"/><c r="D70" s="218"/><c r="E70" s="219"/><c r="F70" s="220"/><c r="G70" s="221"/><c r="H70" s="221"/><c r="I70" s="221"/><c r="J70" s="221"/><c r="K70" s="329"/><c r="L70" s="329"/><c r="M70" s="334"/></row><row r="71" spans="2:13" s="33" customFormat="1" ht="7.5" customHeight="1" x14ac:dyDescent="0.25"><c r="B71" s="35"/><c r="C71" s="16"/><c r="D71" s="16"/><c r="E71" s="17"/><c r="F71" s="18"/><c r="G71" s="19"/><c r="H71" s="19"/><c r="I71" s="19"/><c r="J71" s="19"/><c r="K71" s="330"/><c r="L71" s="330"/><c r="M71" s="335"/></row><row r="72" spans="2:13" s="33" customFormat="1" ht="15" x14ac:dyDescent="0.25"><c r="B72" s="197" t="str"><f>Translation!A188</f><v>ORDENAMENTO DO TERRITÓRIO</v></c><c r="C72" s="198"/><c r="D72" s="198"/><c r="E72" s="199"/><c r="F72" s="199"/><c r="G72" s="200"/><c r="H72" s="200"/><c r="I72" s="200"/><c r="J72" s="200"/><c r="K72" s="200"/><c r="L72" s="200"/><c r="M72" s="200"/></row><row r="73" spans="2:13" s="33" customFormat="1" ht="30" x14ac:dyDescent="0.25"><c r="B73" s="35" t="str"><f>Translation!A189</f><v>Planeamento estratégico local e regional</v></c><c r="C73" s="218"/><c r="D73" s="218"/><c r="E73" s="219"/><c r="F73" s="220"/><c r="G73" s="221"/><c r="H73" s="221"/><c r="I73" s="221"/><c r="J73" s="221"/><c r="K73" s="328"><f>SUM(H73:H78)</f><v>0</v></c><c r="L73" s="328"><f t="shared" ref="L73:M73" si="5">SUM(I73:I78)</f><v>0</v></c><c r="M73" s="328"><f t="shared" si="5"/><v>0</v></c></row><row r="74" spans="2:13" s="33" customFormat="1" ht="30" x14ac:dyDescent="0.25"><c r="B74" s="35" t="str"><f>Translation!A190</f><v>Planeamento de transportes e mobilidade</v></c><c r="C74" s="218"/><c r="D74" s="218"/><c r="E74" s="219"/><c r="F74" s="220"/><c r="G74" s="221"/><c r="H74" s="221"/><c r="I74" s="221"/><c r="J74" s="221"/><c r="K74" s="329"/><c r="L74" s="329"/><c r="M74" s="329"/></row><row r="75" spans="2:13" s="33" customFormat="1" ht="30" x14ac:dyDescent="0.25"><c r="B75" s="35" t="str"><f>Translation!A191</f><v>Planeamento de infraestruturas energéticas</v></c><c r="C75" s="218"/><c r="D75" s="218"/><c r="E75" s="219"/><c r="F75" s="220"/><c r="G75" s="221"/><c r="H75" s="221"/><c r="I75" s="221"/><c r="J75" s="221"/><c r="K75" s="329"/><c r="L75" s="329"/><c r="M75" s="329"/></row><row r="76" spans="2:13" s="33" customFormat="1" ht="30" x14ac:dyDescent="0.25"><c r="B76" s="35" t="str"><f>Translation!A192</f><v>Planeamento territorial das energias renováveis</v></c><c r="C76" s="218"/><c r="D76" s="218"/><c r="E76" s="219"/><c r="F76" s="220"/><c r="G76" s="221"/><c r="H76" s="221"/><c r="I76" s="221"/><c r="J76" s="221"/><c r="K76" s="329"/><c r="L76" s="329"/><c r="M76" s="329"/></row><row r="77" spans="2:13" s="33" customFormat="1" ht="15" x14ac:dyDescent="0.25"><c r="B77" s="35" t="str"><f>Translation!A59</f><v>Acções gerais</v></c><c r="C77" s="218"/><c r="D77" s="218"/><c r="E77" s="219"/><c r="F77" s="220"/><c r="G77" s="221"/><c r="H77" s="221"/><c r="I77" s="221"/><c r="J77" s="221"/><c r="K77" s="329"/><c r="L77" s="329"/><c r="M77" s="329"/></row><row r="78" spans="2:13" s="33" customFormat="1" ht="7.5" customHeight="1" x14ac:dyDescent="0.25"><c r="B78" s="35"/><c r="C78" s="16"/><c r="D78" s="16"/><c r="E78" s="17"/><c r="F78" s="18"/><c r="G78" s="19"/><c r="H78" s="19"/><c r="I78" s="19"/><c r="J78" s="19"/><c r="K78" s="330"/><c r="L78" s="330"/><c r="M78" s="330"/></row><row r="79" spans="2:13" s="33" customFormat="1" ht="15" x14ac:dyDescent="0.25"><c r="B79" s="197" t="str"><f>Translation!A193</f><v>CONTRATOS PÚBLICOS DE EMPREITADAS, BENS E SERVIÇOS</v></c><c r="C79" s="198"/><c r="D79" s="198"/><c r="E79" s="199"/><c r="F79" s="199"/><c r="G79" s="200"/><c r="H79" s="200"/><c r="I79" s="200"/><c r="J79" s="200"/><c r="K79" s="200"/><c r="L79" s="200"/><c r="M79" s="200"/></row><row r="80" spans="2:13" s="33" customFormat="1" ht="30" x14ac:dyDescent="0.25"><c r="B80" s="35" t="str"><f>Translation!A194</f><v>Requisitos e standards para eficiência energética</v></c><c r="C80" s="218"/><c r="D80" s="218"/><c r="E80" s="219"/><c r="F80" s="220"/><c r="G80" s="221"/><c r="H80" s="221"/><c r="I80" s="221"/><c r="J80" s="221"/><c r="K80" s="328"><f>SUM(H80:H83)</f><v>0</v></c><c r="L80" s="328"><f t="shared" ref="L80:M80" si="6">SUM(I80:I83)</f><v>0</v></c><c r="M80" s="328"><f t="shared" si="6"/><v>0</v></c></row><row r="81" spans="2:13" s="33" customFormat="1" ht="30" x14ac:dyDescent="0.25"><c r="B81" s="35" t="str"><f>Translation!A195</f><v>Requisitos e standards para energias renováveis</v></c><c r="C81" s="218"/><c r="D81" s="218"/><c r="E81" s="219"/><c r="F81" s="220"/><c r="G81" s="221"/><c r="H81" s="221"/><c r="I81" s="221"/><c r="J81" s="221"/><c r="K81" s="329"/><c r="L81" s="329"/><c r="M81" s="329"/></row><row r="82" spans="2:13" s="33" customFormat="1" ht="15" x14ac:dyDescent="0.25"><c r="B82" s="35" t="str"><f>Translation!A59</f><v>Acções gerais</v></c><c r="C82" s="218"/><c r="D82" s="218"/><c r="E82" s="219"/><c r="F82" s="220"/><c r="G82" s="221"/><c r="H82" s="221"/><c r="I82" s="221"/><c r="J82" s="221"/><c r="K82" s="329"/><c r="L82" s="329"/><c r="M82" s="329"/></row><row r="83" spans="2:13" s="33" customFormat="1" ht="7.5" customHeight="1" x14ac:dyDescent="0.25"><c r="B83" s="35"/><c r="C83" s="16"/><c r="D83" s="16"/><c r="E83" s="17"/><c r="F83" s="18"/><c r="G83" s="19"/><c r="H83" s="19"/><c r="I83" s="19"/><c r="J83" s="19"/><c r="K83" s="330"/><c r="L83" s="330"/><c r="M83" s="330"/></row><row r="84" spans="2:13" s="33" customFormat="1" ht="15" x14ac:dyDescent="0.25"><c r="B84" s="197" t="str"><f>Translation!A196</f><v>CIDADÃOS E PARTES INTERESSADAS</v></c><c r="C84" s="198"/><c r="D84" s="198"/><c r="E84" s="199"/><c r="F84" s="199"/><c r="G84" s="200"/><c r="H84" s="200"/><c r="I84" s="200"/><c r="J84" s="200"/><c r="K84" s="200"/><c r="L84" s="200"/><c r="M84" s="200"/></row><row r="85" spans="2:13" s="33" customFormat="1" ht="15" x14ac:dyDescent="0.25"><c r="B85" s="35" t="str"><f>Translation!A197</f><v>Serviços de aconselhamento</v></c><c r="C85" s="218"/><c r="D85" s="218"/><c r="E85" s="219"/><c r="F85" s="220"/><c r="G85" s="221"/><c r="H85" s="221"/><c r="I85" s="221"/><c r="J85" s="221"/><c r="K85" s="328"><f>SUM(H85:H92)</f><v>0</v></c><c r="L85" s="328"><f t="shared" ref="L85:M85" si="7">SUM(I85:I92)</f><v>0</v></c><c r="M85" s="328"><f t="shared" si="7"/><v>0</v></c></row><row r="86" spans="2:13" s="33" customFormat="1" ht="15" x14ac:dyDescent="0.25"><c r="B86" s="35" t="str"><f>Translation!A198</f><v>Apoios financeiros e incentivos</v></c><c r="C86" s="218"/><c r="D86" s="218"/><c r="E86" s="219"/><c r="F86" s="220"/><c r="G86" s="221"/><c r="H86" s="221"/><c r="I86" s="221"/><c r="J86" s="221"/><c r="K86" s="329"/><c r="L86" s="329"/><c r="M86" s="329"/></row><row r="87" spans="2:13" s="33" customFormat="1" ht="15" x14ac:dyDescent="0.25"><c r="B87" s="35" t="str"><f>Translation!A199</f><v>Sensibilização e cooperação</v></c><c r="C87" s="218"/><c r="D87" s="218"/><c r="E87" s="219"/><c r="F87" s="220"/><c r="G87" s="221"/><c r="H87" s="221"/><c r="I87" s="221"/><c r="J87" s="221"/><c r="K87" s="329"/><c r="L87" s="329"/><c r="M87" s="329"/></row><row r="88" spans="2:13" s="33" customFormat="1" ht="15" x14ac:dyDescent="0.25"><c r="B88" s="35" t="str"><f>Translation!A200</f><v>Formação e educação</v></c><c r="C88" s="218"/><c r="D88" s="218"/><c r="E88" s="219"/><c r="F88" s="220"/><c r="G88" s="221"/><c r="H88" s="221"/><c r="I88" s="221"/><c r="J88" s="221"/><c r="K88" s="329"/><c r="L88" s="329"/><c r="M88" s="329"/></row><row r="89" spans="2:13" s="33" customFormat="1" ht="15" x14ac:dyDescent="0.25"><c r="B89" s="35" t="str"><f>Translation!A201</f><v>Monitorização</v></c><c r="C89" s="218"/><c r="D89" s="218"/><c r="E89" s="219"/><c r="F89" s="220"/><c r="G89" s="221"/><c r="H89" s="221"/><c r="I89" s="221"/><c r="J89" s="221"/><c r="K89" s="329"/><c r="L89" s="329"/><c r="M89" s="329"/></row><row r="90" spans="2:13" s="33" customFormat="1" ht="15" x14ac:dyDescent="0.25"><c r="B90" s="35" t="str"><f>Translation!A202</f><v>Regulamentação</v></c><c r="C90" s="218"/><c r="D90" s="218"/><c r="E90" s="219"/><c r="F90" s="220"/><c r="G90" s="221"/><c r="H90" s="221"/><c r="I90" s="221"/><c r="J90" s="221"/><c r="K90" s="329"/><c r="L90" s="329"/><c r="M90" s="329"/></row><row r="91" spans="2:13" s="33" customFormat="1" ht="15" x14ac:dyDescent="0.25"><c r="B91" s="35" t="str"><f>Translation!A59</f><v>Acções gerais</v></c><c r="C91" s="218"/><c r="D91" s="218"/><c r="E91" s="219"/><c r="F91" s="220"/><c r="G91" s="221"/><c r="H91" s="221"/><c r="I91" s="221"/><c r="J91" s="221"/><c r="K91" s="329"/><c r="L91" s="329"/><c r="M91" s="329"/></row><row r="92" spans="2:13" s="33" customFormat="1" ht="7.5" customHeight="1" x14ac:dyDescent="0.25"><c r="B92" s="35"/><c r="C92" s="16"/><c r="D92" s="16"/><c r="E92" s="17"/><c r="F92" s="18"/><c r="G92" s="19"/><c r="H92" s="19"/><c r="I92" s="19"/><c r="J92" s="19"/><c r="K92" s="330"/><c r="L92" s="330"/><c r="M92" s="330"/></row><row r="93" spans="2:13" s="33" customFormat="1" ht="15" x14ac:dyDescent="0.25"><c r="B93" s="197" t="str"><f>Translation!A203</f><v>OUTROS SECTORES (por favor, especificar)</v></c><c r="C93" s="198"/><c r="D93" s="198"/><c r="E93" s="199"/><c r="F93" s="199"/><c r="G93" s="200"/><c r="H93" s="200"/><c r="I93" s="200"/><c r="J93" s="200"/><c r="K93" s="200"/><c r="L93" s="200"/><c r="M93" s="200"/></row><row r="94" spans="2:13" s="33" customFormat="1" ht="15" x14ac:dyDescent="0.25"><c r="B94" s="155" t="str"><f>Translation!A204</f><v>…</v></c><c r="C94" s="218"/><c r="D94" s="218"/><c r="E94" s="219"/><c r="F94" s="220"/><c r="G94" s="221"/><c r="H94" s="221"/><c r="I94" s="221"/><c r="J94" s="221"/><c r="K94" s="328"><f>SUM(H94:H99)</f><v>0</v></c><c r="L94" s="328"><f>SUM(I94:I99)</f><v>0</v></c><c r="M94" s="328"><f>SUM(J94:J99)</f><v>0</v></c></row><row r="95" spans="2:13" s="33" customFormat="1" ht="15" x14ac:dyDescent="0.25"><c r="B95" s="155" t="str"><f>Translation!A205</f><v>…</v></c><c r="C95" s="218"/><c r="D95" s="218"/><c r="E95" s="219"/><c r="F95" s="220"/><c r="G95" s="221"/><c r="H95" s="221"/><c r="I95" s="221"/><c r="J95" s="221"/><c r="K95" s="329"/><c r="L95" s="329"/><c r="M95" s="329"/></row><row r="96" spans="2:13" s="33" customFormat="1" ht="15" x14ac:dyDescent="0.25"><c r="B96" s="155" t="str"><f>Translation!A206</f><v>…</v></c><c r="C96" s="218"/><c r="D96" s="218"/><c r="E96" s="219"/><c r="F96" s="220"/><c r="G96" s="221"/><c r="H96" s="221"/><c r="I96" s="221"/><c r="J96" s="221"/><c r="K96" s="329"/><c r="L96" s="329"/><c r="M96" s="329"/></row><row r="97" spans="1:13" s="33" customFormat="1" ht="15" x14ac:dyDescent="0.25"><c r="B97" s="155" t="str"><f>Translation!A207</f><v>…</v></c><c r="C97" s="218"/><c r="D97" s="218"/><c r="E97" s="219"/><c r="F97" s="220"/><c r="G97" s="221"/><c r="H97" s="221"/><c r="I97" s="221"/><c r="J97" s="221"/><c r="K97" s="329"/><c r="L97" s="329"/><c r="M97" s="329"/></row><row r="98" spans="1:13" s="33" customFormat="1" ht="15" x14ac:dyDescent="0.25"><c r="B98" s="155" t="str"><f>Translation!A208</f><v>…</v></c><c r="C98" s="218"/><c r="D98" s="218"/><c r="E98" s="219"/><c r="F98" s="220"/><c r="G98" s="221"/><c r="H98" s="221"/><c r="I98" s="221"/><c r="J98" s="221"/><c r="K98" s="329"/><c r="L98" s="329"/><c r="M98" s="329"/></row><row r="99" spans="1:13" s="33" customFormat="1" ht="7.5" customHeight="1" x14ac:dyDescent="0.25"><c r="B99" s="35"/><c r="C99" s="16"/><c r="D99" s="16"/><c r="E99" s="17"/><c r="F99" s="18"/><c r="G99" s="19"/><c r="H99" s="19"/><c r="I99" s="19"/><c r="J99" s="19"/><c r="K99" s="330"/><c r="L99" s="330"/><c r="M99" s="330"/></row><row r="100" spans="1:13" s="33" customFormat="1" ht="15" x14ac:dyDescent="0.25"><c r="B100" s="325" t="str"><f>Translation!A209</f><v>TOTAL</v></c><c r="C100" s="326"/><c r="D100" s="326"/><c r="E100" s="326"/><c r="F100" s="327"/><c r="G100" s="203"><f>SUM(G14:G98)</f><v>7625914.3499999996</v></c><c r="H100" s="203"><f>SUM(H14:H98)</f><v>2136.1463122</v></c><c r="I100" s="203"><f>SUM(I14:I98)</f><v>13930.022857142856</v></c><c r="J100" s="203"><f>SUM(J14:J98)</f><v>11520.206990744202</v></c><c r="K100" s="36"><f>K14+K28+K33+K39+K50+K57+K73+K80+K85+K94</f><v>2136.1463122</v></c><c r="L100" s="36"><f>L14+L28+L33+L39+L50+L57+L73+L80+L85+L94</f><v>13930.022857142858</v></c><c r="M100" s="36"><f>M14+M28+M33+M39+M50+M57+M73+M80+M85+M94</f><v>11520.206990744202</v></c></row><row r="101" spans="1:13" ht="17.25" customHeight="1" x14ac:dyDescent="0.25"><c r="B101" s="37"/><c r="C101" s="38"/><c r="D101" s="39"/><c r="E101" s="40"/><c r="F101" s="41"/><c r="J101" s="42"/></row><row r="102" spans="1:13" s="101" customFormat="1" ht="36" x14ac:dyDescent="0.25"><c r="A102" s="100" t="s"><v>10</v></c><c r="B102" s="324" t="str"><f>Translation!A210</f><v>WEBSITE</v></c><c r="C102" s="324"/><c r="D102" s="324"/><c r="E102" s="324"/><c r="F102" s="324"/><c r="G102" s="324"/><c r="H102" s="324"/><c r="I102" s="324"/><c r="J102" s="324"/><c r="K102" s="324"/><c r="L102" s="324"/><c r="M102" s="324"/></row><row r="103" spans="1:13" ht="15.75" customHeight="1" x14ac:dyDescent="0.25"><c r="A103" s="43"/><c r="C103" s="44" t="str"><f>Translation!A211</f><v>Ligação para o website dedicado ao ISEAP (se existir)</v></c><c r="D103" s="321"/><c r="E103" s="322"/><c r="F103" s="322"/><c r="G103" s="322"/><c r="H103" s="323"/><c r="I103" s="26"/></row><row r="104" spans="1:13" ht="17.25" customHeight="1" x14ac:dyDescent="0.25"><c r="B104" s="37"/><c r="J104" s="42"/></row><row r="105" spans="1:13" ht="12.75" customHeight="1" x14ac:dyDescent="0.25"><c r="B105"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5" s="271"/><c r="D105" s="271"/><c r="E105" s="271"/><c r="F105" s="271"/><c r="G105" s="271"/><c r="H105" s="271"/><c r="I105" s="271"/><c r="J105" s="271"/><c r="K105" s="271"/><c r="L105" s="271"/><c r="M105" s="271"/></row><row r="106" spans="1:13" x14ac:dyDescent="0.25"><c r="B106" s="271"/><c r="C106" s="271"/><c r="D106" s="271"/><c r="E106" s="271"/><c r="F106" s="271"/><c r="G106" s="271"/><c r="H106" s="271"/><c r="I106" s="271"/><c r="J106" s="271"/><c r="K106" s="271"/><c r="L106" s="271"/><c r="M106" s="271"/></row><row r="107" spans="1:13" x14ac:dyDescent="0.25"><c r="B107" s="271"/><c r="C107" s="271"/><c r="D107" s="271"/><c r="E107" s="271"/><c r="F107" s="271"/><c r="G107" s="271"/><c r="H107" s="271"/><c r="I107" s="271"/><c r="J107" s="271"/><c r="K107" s="271"/><c r="L107" s="271"/><c r="M107" s="271"/></row></sheetData><mergeCells count="53"><mergeCell ref="L73:L78"/><mergeCell ref="M73:M78"/><mergeCell ref="K57:K71"/><mergeCell ref="L57:L71"/><mergeCell ref="M57:M71"/><mergeCell ref="K73:K78"/><mergeCell ref="K50:K55"/><mergeCell ref="L50:L55"/><mergeCell ref="M50:M55"/><mergeCell ref="K39:K48"/><mergeCell ref="L39:L48"/><mergeCell ref="M39:M48"/><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33:K37"/><mergeCell ref="L33:L37"/><mergeCell ref="M33:M37"/><mergeCell ref="K28:K31"/><mergeCell ref="L28:L31"/><mergeCell ref="M28:M31"/><mergeCell ref="K14:K26"/><mergeCell ref="L14:L26"/><mergeCell ref="M14:M26"/><mergeCell ref="B14:B16"/><mergeCell ref="B105:M107"/><mergeCell ref="D103:H103"/><mergeCell ref="B102:M102"/><mergeCell ref="B100:F100"/><mergeCell ref="K80:K83"/><mergeCell ref="L80:L83"/><mergeCell ref="M80:M83"/><mergeCell ref="K85:K92"/><mergeCell ref="L85:L92"/><mergeCell ref="M85:M92"/><mergeCell ref="K94:K99"/><mergeCell ref="L94:L99"/><mergeCell ref="M94:M99"/></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199B2D2E-DDA5-4B32-AC91-2F9161989D27}" xmlns:ds="http://schemas.openxmlformats.org/officeDocument/2006/customXml"/>
</file>

<file path=customXml/itemProps2.xml><?xml version="1.0" encoding="UTF-8" standalone="no"?>
<ds:datastoreItem ds:itemID_"{41EE4908-2527-41B3-AD62-4E86DE94B5D2}" xmlns:ds="http://schemas.openxmlformats.org/officeDocument/2006/customXml"/>
</file>

<file path=customXml/itemProps3.xml><?xml version="1.0" encoding="UTF-8" standalone="no"?>
<ds:datastoreItem ds:itemID_"{FC1BFB7F-1136-473C-8CBB-D1C150F7C141}"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2012-03-30T18:19:48Z</dcterms:modified>
</cp:coreProperties>
</file>